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FCASUMATERA\DOCUMENTS IN PROGRESS\DRAFT\RFCP5\DRAFT\"/>
    </mc:Choice>
  </mc:AlternateContent>
  <bookViews>
    <workbookView xWindow="120" yWindow="60" windowWidth="15210" windowHeight="7290" activeTab="1"/>
  </bookViews>
  <sheets>
    <sheet name="Logframe" sheetId="3" r:id="rId1"/>
    <sheet name="Workplan" sheetId="1" r:id="rId2"/>
    <sheet name="PMP" sheetId="2" r:id="rId3"/>
    <sheet name="Budget" sheetId="5" r:id="rId4"/>
    <sheet name="Cashflow" sheetId="6" r:id="rId5"/>
  </sheets>
  <calcPr calcId="152511"/>
</workbook>
</file>

<file path=xl/calcChain.xml><?xml version="1.0" encoding="utf-8"?>
<calcChain xmlns="http://schemas.openxmlformats.org/spreadsheetml/2006/main">
  <c r="B25" i="1" l="1"/>
  <c r="AQ25" i="1"/>
  <c r="AP25" i="1"/>
  <c r="AO25" i="1"/>
  <c r="A16" i="2"/>
  <c r="C19" i="6"/>
  <c r="C15" i="6"/>
  <c r="C24" i="6"/>
  <c r="C23" i="6"/>
  <c r="C22" i="6"/>
  <c r="C21" i="6"/>
  <c r="C18" i="6"/>
  <c r="C16" i="6"/>
  <c r="C12" i="6"/>
  <c r="C13" i="6"/>
  <c r="C11" i="6"/>
  <c r="C10" i="6"/>
  <c r="AV6" i="1" l="1"/>
  <c r="A8" i="2"/>
  <c r="A4" i="1"/>
  <c r="P19" i="6"/>
  <c r="AO15" i="1" s="1"/>
  <c r="AR15" i="1" s="1"/>
  <c r="P20" i="6"/>
  <c r="P21" i="6"/>
  <c r="P22" i="6"/>
  <c r="P23" i="6"/>
  <c r="AO19" i="1" s="1"/>
  <c r="P24" i="6"/>
  <c r="P16" i="6"/>
  <c r="P17" i="6"/>
  <c r="P18" i="6"/>
  <c r="P14" i="6"/>
  <c r="D15" i="1"/>
  <c r="D24" i="5"/>
  <c r="A13" i="2"/>
  <c r="AY18" i="1"/>
  <c r="AY19" i="1"/>
  <c r="AY20" i="1"/>
  <c r="AY17" i="1"/>
  <c r="AY15" i="1"/>
  <c r="AY14" i="1"/>
  <c r="AW10" i="1"/>
  <c r="F24" i="5"/>
  <c r="F25" i="5"/>
  <c r="F27" i="5"/>
  <c r="H24" i="5"/>
  <c r="H25" i="5"/>
  <c r="H27" i="5"/>
  <c r="F122" i="5"/>
  <c r="G122" i="5"/>
  <c r="I122" i="5"/>
  <c r="J122" i="5"/>
  <c r="K122" i="5"/>
  <c r="H122" i="5"/>
  <c r="F124" i="5"/>
  <c r="G124" i="5"/>
  <c r="I124" i="5"/>
  <c r="J124" i="5"/>
  <c r="K124" i="5"/>
  <c r="H124" i="5"/>
  <c r="I78" i="5"/>
  <c r="J78" i="5"/>
  <c r="K78" i="5"/>
  <c r="F56" i="5"/>
  <c r="I56" i="5"/>
  <c r="J56" i="5"/>
  <c r="K56" i="5"/>
  <c r="I27" i="5"/>
  <c r="J27" i="5"/>
  <c r="K27" i="5"/>
  <c r="F78" i="5"/>
  <c r="H78" i="5"/>
  <c r="H56" i="5"/>
  <c r="AP17" i="1"/>
  <c r="AP18" i="1"/>
  <c r="AC23" i="6"/>
  <c r="AP19" i="1" s="1"/>
  <c r="AC24" i="6"/>
  <c r="AP20" i="1" s="1"/>
  <c r="AQ17" i="1"/>
  <c r="AQ18" i="1"/>
  <c r="AQ19" i="1"/>
  <c r="AQ20" i="1"/>
  <c r="AO17" i="1"/>
  <c r="AO18" i="1"/>
  <c r="AR18" i="1" s="1"/>
  <c r="AO20" i="1"/>
  <c r="AP14" i="1"/>
  <c r="AP15" i="1"/>
  <c r="AQ14" i="1"/>
  <c r="AQ13" i="1" s="1"/>
  <c r="AQ15" i="1"/>
  <c r="AO14" i="1"/>
  <c r="AQ12" i="1"/>
  <c r="AQ11" i="1" s="1"/>
  <c r="AP12" i="1"/>
  <c r="AP11" i="1" s="1"/>
  <c r="P15" i="6"/>
  <c r="AO12" i="1" s="1"/>
  <c r="AP7" i="1"/>
  <c r="AP8" i="1"/>
  <c r="AP9" i="1"/>
  <c r="AP10" i="1"/>
  <c r="AQ7" i="1"/>
  <c r="AQ8" i="1"/>
  <c r="AQ9" i="1"/>
  <c r="AQ10" i="1"/>
  <c r="P13" i="6"/>
  <c r="AO10" i="1" s="1"/>
  <c r="P12" i="6"/>
  <c r="AO9" i="1"/>
  <c r="P11" i="6"/>
  <c r="AO8" i="1" s="1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9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P10" i="6"/>
  <c r="AO7" i="1" s="1"/>
  <c r="P9" i="6"/>
  <c r="P8" i="6"/>
  <c r="C9" i="6"/>
  <c r="C14" i="6"/>
  <c r="C17" i="6"/>
  <c r="C20" i="6"/>
  <c r="D68" i="5"/>
  <c r="D67" i="5"/>
  <c r="D66" i="5"/>
  <c r="D65" i="5"/>
  <c r="D64" i="5"/>
  <c r="D63" i="5"/>
  <c r="D62" i="5"/>
  <c r="D61" i="5"/>
  <c r="D50" i="5"/>
  <c r="D48" i="5"/>
  <c r="D46" i="5"/>
  <c r="D47" i="5"/>
  <c r="D45" i="5"/>
  <c r="D43" i="5"/>
  <c r="D42" i="5"/>
  <c r="D40" i="5"/>
  <c r="D39" i="5"/>
  <c r="D38" i="5"/>
  <c r="D37" i="5"/>
  <c r="D36" i="5"/>
  <c r="D35" i="5"/>
  <c r="D34" i="5"/>
  <c r="D32" i="5"/>
  <c r="D13" i="5"/>
  <c r="D12" i="5"/>
  <c r="D11" i="5"/>
  <c r="B115" i="5"/>
  <c r="B94" i="5"/>
  <c r="B88" i="5"/>
  <c r="B81" i="5"/>
  <c r="B80" i="5"/>
  <c r="B70" i="5"/>
  <c r="B58" i="5"/>
  <c r="B30" i="5"/>
  <c r="A29" i="5"/>
  <c r="B23" i="5"/>
  <c r="B18" i="5"/>
  <c r="B15" i="5"/>
  <c r="B7" i="5"/>
  <c r="B6" i="5"/>
  <c r="B22" i="6"/>
  <c r="B23" i="6"/>
  <c r="B24" i="6"/>
  <c r="B21" i="6"/>
  <c r="B20" i="6"/>
  <c r="B19" i="6"/>
  <c r="B18" i="6"/>
  <c r="B17" i="6"/>
  <c r="B15" i="6"/>
  <c r="B14" i="6"/>
  <c r="B11" i="6"/>
  <c r="B12" i="6"/>
  <c r="B13" i="6"/>
  <c r="B10" i="6"/>
  <c r="B9" i="6"/>
  <c r="B8" i="6"/>
  <c r="B5" i="5"/>
  <c r="I14" i="5"/>
  <c r="I17" i="5"/>
  <c r="I22" i="5"/>
  <c r="I25" i="5"/>
  <c r="F32" i="5"/>
  <c r="H32" i="5"/>
  <c r="I32" i="5"/>
  <c r="F33" i="5"/>
  <c r="H33" i="5"/>
  <c r="I33" i="5"/>
  <c r="F34" i="5"/>
  <c r="H34" i="5"/>
  <c r="I34" i="5"/>
  <c r="F35" i="5"/>
  <c r="H35" i="5"/>
  <c r="I35" i="5"/>
  <c r="F36" i="5"/>
  <c r="H36" i="5"/>
  <c r="I36" i="5"/>
  <c r="F37" i="5"/>
  <c r="H37" i="5"/>
  <c r="I37" i="5"/>
  <c r="F38" i="5"/>
  <c r="H38" i="5"/>
  <c r="I38" i="5"/>
  <c r="F39" i="5"/>
  <c r="H39" i="5"/>
  <c r="I39" i="5"/>
  <c r="F40" i="5"/>
  <c r="H40" i="5"/>
  <c r="I40" i="5"/>
  <c r="I41" i="5"/>
  <c r="F42" i="5"/>
  <c r="H42" i="5"/>
  <c r="I42" i="5"/>
  <c r="F43" i="5"/>
  <c r="H43" i="5"/>
  <c r="I43" i="5"/>
  <c r="I44" i="5"/>
  <c r="F45" i="5"/>
  <c r="H45" i="5"/>
  <c r="I45" i="5"/>
  <c r="F46" i="5"/>
  <c r="H46" i="5"/>
  <c r="I46" i="5"/>
  <c r="F47" i="5"/>
  <c r="H47" i="5"/>
  <c r="I47" i="5"/>
  <c r="F48" i="5"/>
  <c r="H48" i="5"/>
  <c r="I48" i="5"/>
  <c r="I49" i="5"/>
  <c r="F50" i="5"/>
  <c r="H50" i="5"/>
  <c r="I50" i="5"/>
  <c r="I53" i="5"/>
  <c r="I69" i="5"/>
  <c r="I114" i="5"/>
  <c r="H8" i="5"/>
  <c r="H9" i="5"/>
  <c r="H10" i="5"/>
  <c r="H11" i="5"/>
  <c r="H12" i="5"/>
  <c r="H13" i="5"/>
  <c r="H14" i="5"/>
  <c r="H16" i="5"/>
  <c r="H17" i="5"/>
  <c r="H19" i="5"/>
  <c r="H20" i="5"/>
  <c r="H21" i="5"/>
  <c r="H22" i="5"/>
  <c r="H52" i="5"/>
  <c r="H53" i="5"/>
  <c r="H59" i="5"/>
  <c r="H60" i="5"/>
  <c r="H61" i="5"/>
  <c r="H62" i="5"/>
  <c r="H63" i="5"/>
  <c r="H64" i="5"/>
  <c r="H65" i="5"/>
  <c r="H66" i="5"/>
  <c r="H67" i="5"/>
  <c r="H68" i="5"/>
  <c r="H69" i="5"/>
  <c r="H71" i="5"/>
  <c r="D72" i="5"/>
  <c r="H72" i="5"/>
  <c r="D73" i="5"/>
  <c r="H73" i="5"/>
  <c r="D74" i="5"/>
  <c r="H74" i="5"/>
  <c r="D75" i="5"/>
  <c r="H75" i="5"/>
  <c r="H76" i="5"/>
  <c r="H83" i="5"/>
  <c r="H84" i="5"/>
  <c r="D85" i="5"/>
  <c r="H85" i="5"/>
  <c r="D86" i="5"/>
  <c r="H86" i="5"/>
  <c r="H87" i="5"/>
  <c r="H89" i="5"/>
  <c r="H90" i="5"/>
  <c r="D91" i="5"/>
  <c r="H91" i="5"/>
  <c r="D92" i="5"/>
  <c r="H92" i="5"/>
  <c r="H93" i="5"/>
  <c r="H96" i="5"/>
  <c r="H97" i="5"/>
  <c r="H98" i="5"/>
  <c r="D99" i="5"/>
  <c r="H99" i="5"/>
  <c r="D101" i="5"/>
  <c r="H101" i="5"/>
  <c r="H102" i="5"/>
  <c r="D104" i="5"/>
  <c r="H104" i="5"/>
  <c r="D105" i="5"/>
  <c r="H105" i="5"/>
  <c r="D107" i="5"/>
  <c r="H107" i="5"/>
  <c r="D108" i="5"/>
  <c r="H108" i="5"/>
  <c r="D109" i="5"/>
  <c r="H109" i="5"/>
  <c r="D110" i="5"/>
  <c r="H110" i="5"/>
  <c r="D111" i="5"/>
  <c r="H111" i="5"/>
  <c r="H112" i="5"/>
  <c r="H113" i="5"/>
  <c r="H114" i="5"/>
  <c r="D116" i="5"/>
  <c r="H116" i="5"/>
  <c r="D117" i="5"/>
  <c r="H117" i="5"/>
  <c r="D118" i="5"/>
  <c r="H118" i="5"/>
  <c r="D119" i="5"/>
  <c r="H119" i="5"/>
  <c r="H120" i="5"/>
  <c r="F8" i="5"/>
  <c r="F9" i="5"/>
  <c r="F10" i="5"/>
  <c r="F11" i="5"/>
  <c r="F12" i="5"/>
  <c r="F13" i="5"/>
  <c r="F14" i="5"/>
  <c r="F16" i="5"/>
  <c r="F17" i="5"/>
  <c r="F19" i="5"/>
  <c r="F20" i="5"/>
  <c r="F21" i="5"/>
  <c r="F22" i="5"/>
  <c r="F52" i="5"/>
  <c r="F53" i="5"/>
  <c r="F59" i="5"/>
  <c r="F60" i="5"/>
  <c r="F61" i="5"/>
  <c r="F62" i="5"/>
  <c r="F63" i="5"/>
  <c r="F64" i="5"/>
  <c r="F65" i="5"/>
  <c r="F66" i="5"/>
  <c r="F67" i="5"/>
  <c r="F68" i="5"/>
  <c r="F69" i="5"/>
  <c r="F71" i="5"/>
  <c r="F72" i="5"/>
  <c r="F73" i="5"/>
  <c r="F74" i="5"/>
  <c r="F75" i="5"/>
  <c r="F76" i="5"/>
  <c r="F83" i="5"/>
  <c r="F84" i="5"/>
  <c r="F85" i="5"/>
  <c r="F86" i="5"/>
  <c r="F87" i="5"/>
  <c r="F89" i="5"/>
  <c r="F90" i="5"/>
  <c r="F91" i="5"/>
  <c r="F92" i="5"/>
  <c r="F93" i="5"/>
  <c r="F96" i="5"/>
  <c r="F97" i="5"/>
  <c r="F98" i="5"/>
  <c r="F99" i="5"/>
  <c r="F101" i="5"/>
  <c r="F102" i="5"/>
  <c r="F104" i="5"/>
  <c r="F105" i="5"/>
  <c r="F107" i="5"/>
  <c r="F108" i="5"/>
  <c r="F109" i="5"/>
  <c r="F110" i="5"/>
  <c r="F111" i="5"/>
  <c r="F112" i="5"/>
  <c r="F113" i="5"/>
  <c r="F114" i="5"/>
  <c r="F116" i="5"/>
  <c r="F117" i="5"/>
  <c r="F118" i="5"/>
  <c r="F119" i="5"/>
  <c r="F120" i="5"/>
  <c r="F11" i="2"/>
  <c r="D11" i="2"/>
  <c r="D10" i="2"/>
  <c r="D9" i="2"/>
  <c r="D8" i="2"/>
  <c r="B11" i="2"/>
  <c r="B10" i="2"/>
  <c r="A11" i="2"/>
  <c r="A10" i="2"/>
  <c r="AW12" i="1"/>
  <c r="AW14" i="1"/>
  <c r="AW15" i="1"/>
  <c r="AW17" i="1"/>
  <c r="AW18" i="1"/>
  <c r="AW19" i="1"/>
  <c r="AW20" i="1"/>
  <c r="AV20" i="1"/>
  <c r="AV19" i="1"/>
  <c r="AV18" i="1"/>
  <c r="AV17" i="1"/>
  <c r="AV16" i="1"/>
  <c r="AV15" i="1"/>
  <c r="AV14" i="1"/>
  <c r="AV13" i="1"/>
  <c r="D20" i="1"/>
  <c r="D19" i="1"/>
  <c r="D18" i="1"/>
  <c r="D17" i="1"/>
  <c r="C16" i="1"/>
  <c r="D14" i="1"/>
  <c r="C13" i="1"/>
  <c r="D12" i="1"/>
  <c r="C11" i="1"/>
  <c r="D10" i="1"/>
  <c r="D9" i="1"/>
  <c r="D8" i="1"/>
  <c r="D7" i="1"/>
  <c r="C6" i="1"/>
  <c r="B5" i="1"/>
  <c r="B22" i="1"/>
  <c r="AY12" i="1"/>
  <c r="AV11" i="1"/>
  <c r="AV12" i="1"/>
  <c r="AY8" i="1"/>
  <c r="AY9" i="1"/>
  <c r="AY10" i="1"/>
  <c r="AY7" i="1"/>
  <c r="AW8" i="1"/>
  <c r="AW9" i="1"/>
  <c r="AW7" i="1"/>
  <c r="AV10" i="1"/>
  <c r="AV9" i="1"/>
  <c r="AV8" i="1"/>
  <c r="AV7" i="1"/>
  <c r="AO22" i="1"/>
  <c r="AP22" i="1"/>
  <c r="AQ22" i="1"/>
  <c r="B9" i="2"/>
  <c r="B8" i="2"/>
  <c r="A7" i="2"/>
  <c r="A9" i="2"/>
  <c r="AR8" i="1" l="1"/>
  <c r="AR12" i="1"/>
  <c r="AP16" i="1"/>
  <c r="AO13" i="1"/>
  <c r="C8" i="6"/>
  <c r="AR10" i="1"/>
  <c r="AR9" i="1"/>
  <c r="AP6" i="1"/>
  <c r="AP5" i="1" s="1"/>
  <c r="AR14" i="1"/>
  <c r="AQ16" i="1"/>
  <c r="AR7" i="1"/>
  <c r="AP13" i="1"/>
  <c r="AR19" i="1"/>
  <c r="AO6" i="1"/>
  <c r="AO16" i="1"/>
  <c r="AR17" i="1"/>
  <c r="AQ6" i="1"/>
  <c r="AR20" i="1"/>
  <c r="AO11" i="1"/>
  <c r="AR11" i="1" s="1"/>
  <c r="F9" i="3" s="1"/>
  <c r="AR16" i="1" l="1"/>
  <c r="AR13" i="1"/>
  <c r="F10" i="3" s="1"/>
  <c r="AR6" i="1"/>
  <c r="F5" i="3" s="1"/>
  <c r="AQ5" i="1"/>
  <c r="AO5" i="1"/>
  <c r="AR5" i="1" l="1"/>
</calcChain>
</file>

<file path=xl/sharedStrings.xml><?xml version="1.0" encoding="utf-8"?>
<sst xmlns="http://schemas.openxmlformats.org/spreadsheetml/2006/main" count="329" uniqueCount="268">
  <si>
    <t>Komponen  / Kegiatan / Sub Kegiatan</t>
  </si>
  <si>
    <t>Baseline data</t>
  </si>
  <si>
    <t>Tahun 1</t>
  </si>
  <si>
    <t>Tahun 2</t>
  </si>
  <si>
    <t>Tahun 3</t>
  </si>
  <si>
    <t xml:space="preserve">Target </t>
  </si>
  <si>
    <t>Realisasi</t>
  </si>
  <si>
    <t>Kegiatan</t>
  </si>
  <si>
    <t>K</t>
  </si>
  <si>
    <t>S</t>
  </si>
  <si>
    <t>Komponen Kegiatan dan Sub Kegiatan</t>
  </si>
  <si>
    <t>Program</t>
  </si>
  <si>
    <t>PELAKSANA / KERJASAMA</t>
  </si>
  <si>
    <t>ALAT VERIFIKASI</t>
  </si>
  <si>
    <t>Dampak konservasi
(conservation impact)</t>
  </si>
  <si>
    <t>Tujuan Umum
(goals)</t>
  </si>
  <si>
    <t>Hasil
(outcomes)</t>
  </si>
  <si>
    <t>Luaran
(Outputs)</t>
  </si>
  <si>
    <t>Input Dana</t>
  </si>
  <si>
    <t>MoV</t>
  </si>
  <si>
    <t>Luaran</t>
  </si>
  <si>
    <t>Sub Kegiatan</t>
  </si>
  <si>
    <t>Indikator</t>
  </si>
  <si>
    <t>Asumsi</t>
  </si>
  <si>
    <t>target yang dirancang pada level kegiatan untuk dicapai dalam tahun 1</t>
  </si>
  <si>
    <t>target yang dirancang pada level kegiatan untuk dicapai dalam tahun 2</t>
  </si>
  <si>
    <t>target yang dirancang pada level kegiatan untuk dicapai dalam tahun 3</t>
  </si>
  <si>
    <t xml:space="preserve">Realisasi target  capaian yang dirancang di level kegiatan akumulasi dalam tahun 1 </t>
  </si>
  <si>
    <t>Realisasi target  capaian yang dirancang di level kegiatan akumulasi dalam tahun 2</t>
  </si>
  <si>
    <t>Realisasi target  capaian yang dirancang di level kegiatan akumulasi dalam tahun 3</t>
  </si>
  <si>
    <t>Komponen Biaya</t>
  </si>
  <si>
    <t>Keterangan</t>
  </si>
  <si>
    <t>Unit</t>
  </si>
  <si>
    <t>MoV 1.1.3.  Dokumen Accuracy Assessment</t>
  </si>
  <si>
    <t>MoV 1.4.1. Dokumen usulan integrasi PHBM</t>
  </si>
  <si>
    <t>MoV 1.4.2. Berita acara serah terima dokumen, draft dokumen dan dokumen final kerangka program bidang kehutanan yang mengakomodasi usulan integrasi PHBM</t>
  </si>
  <si>
    <t>Target Tahunan / Luaran &amp;  Indikator Program</t>
  </si>
  <si>
    <t>Deliverables</t>
  </si>
  <si>
    <t>ASUMSI / RESIKO</t>
  </si>
  <si>
    <t>Total</t>
  </si>
  <si>
    <t xml:space="preserve">Citra ALOS , peta RBI </t>
  </si>
  <si>
    <t>Hasil interpretasi citra ALOS, peta RBI dan peta RTRW</t>
  </si>
  <si>
    <t>Accuracy assessment</t>
  </si>
  <si>
    <t xml:space="preserve">Peta tematik </t>
  </si>
  <si>
    <t>kompilasi data sosial ekonomi dan biofisik desa-desa sasaran program TFCA</t>
  </si>
  <si>
    <t>harga/Unit</t>
  </si>
  <si>
    <t>%dari Total</t>
  </si>
  <si>
    <t>TFCA</t>
  </si>
  <si>
    <t>Swadaya</t>
  </si>
  <si>
    <t>A. PROGRAM COST</t>
  </si>
  <si>
    <t>Pengadaan Peta Citra ALOS dan vektornya</t>
  </si>
  <si>
    <t>Pengadaan Peta RBI</t>
  </si>
  <si>
    <t>Transport Fasilitator GIS dan Pemetaan</t>
  </si>
  <si>
    <t>Akomodasi Fasilitator GIS dan Pemetaan</t>
  </si>
  <si>
    <t>Konsumsi Fasilitator GIS dan Pemetaan</t>
  </si>
  <si>
    <t>Sub Total 1.1.1</t>
  </si>
  <si>
    <t>Perbanyakan peta interpretasi citra alos</t>
  </si>
  <si>
    <t>Sub Total 1.1.2</t>
  </si>
  <si>
    <t>Sewa motor dan BBM</t>
  </si>
  <si>
    <t>1 unit * 30 hari</t>
  </si>
  <si>
    <t>1 orang * 30 hari</t>
  </si>
  <si>
    <t>Sub Total 1.1.3</t>
  </si>
  <si>
    <t>MoV 1.2.1. Peta tematik: peta tata guna lahan, peta batas wilyah kelola dan peta potensi</t>
  </si>
  <si>
    <t>As.1.1.2. Citra dan peta yang digunakan tidak rusak</t>
  </si>
  <si>
    <t>As.1.1.4. data hasil interpretasi dan data ground check valid</t>
  </si>
  <si>
    <t>SK 1.3.1. Pelaksanaan TOT Fasilitator lokal PRA  di 5 lokasi calon PHBM</t>
  </si>
  <si>
    <t>Ind 1.3.1.  Terlatih 10 orang fasilitator lokal yang  mampu memfasilitasi masyarakat untuk menerapkan metodologi PRA</t>
  </si>
  <si>
    <t>As.1.3.1. Ada masyarakat yang  bersedia dilatih menjadi fasilitator lokal</t>
  </si>
  <si>
    <t>Ind 1.1.3. Data ground check 5 Lokasi</t>
  </si>
  <si>
    <t>Data ground check 5 Lokasi</t>
  </si>
  <si>
    <t>Laporan kajian / analisis spasial / peta potensi PHBM Koridor bentang alam</t>
  </si>
  <si>
    <t>Divisi GIS</t>
  </si>
  <si>
    <t>Peta wilayah kelola  5 calon lokasi PHBM</t>
  </si>
  <si>
    <t>Baseline data sosial ekonomi dan biofisik di 5 lokasi</t>
  </si>
  <si>
    <t xml:space="preserve">Komponen 2. </t>
  </si>
  <si>
    <t>Komponen 3.</t>
  </si>
  <si>
    <t xml:space="preserve">Swadaya </t>
  </si>
  <si>
    <t>Donor Lain</t>
  </si>
  <si>
    <t>Sub Total 1.2.1</t>
  </si>
  <si>
    <t>Sub Total 1.1.4</t>
  </si>
  <si>
    <t>Manajemen dan Divisi GIS</t>
  </si>
  <si>
    <t xml:space="preserve">Divisi GIS, Fasilitator, pemdes, </t>
  </si>
  <si>
    <t>Divisi Comdev, Fasilitator</t>
  </si>
  <si>
    <t>Divisi Comdev, Fasilitator, KPHD</t>
  </si>
  <si>
    <t>As.1.4.4. DPRD bersedia menyetujui dan mengesahkan anggaran</t>
  </si>
  <si>
    <t>Lampiran B. Kerangka Kerja Logis (Log Frame) Konsorsium Sumatera Lestari</t>
  </si>
  <si>
    <t>Lampiran B. Rencana Kerja (Workplan) Konsorsium Sumatera Lestari</t>
  </si>
  <si>
    <t>Lampiran C. Rencana Pemantauan Kinerja (PMP) Konsorsium Sumatera Lestari</t>
  </si>
  <si>
    <t>Lampiran D. ANGGARAN/RENCANA BIAYA Konsorsium Sumatera Lestari</t>
  </si>
  <si>
    <t>No</t>
  </si>
  <si>
    <t>Total (dalam juta Rp)</t>
  </si>
  <si>
    <t>PROGRAM COST</t>
  </si>
  <si>
    <t>Nov</t>
  </si>
  <si>
    <t>Jan</t>
  </si>
  <si>
    <t>Feb</t>
  </si>
  <si>
    <t>Mar</t>
  </si>
  <si>
    <t>K.1</t>
  </si>
  <si>
    <t>K 1.1</t>
  </si>
  <si>
    <t>SK 1.1.1</t>
  </si>
  <si>
    <t>SK 1.1.2</t>
  </si>
  <si>
    <t>SK 1.1.3</t>
  </si>
  <si>
    <t>SK 1.1.4</t>
  </si>
  <si>
    <t>K 1.2</t>
  </si>
  <si>
    <t>SK 1.2.1</t>
  </si>
  <si>
    <t>Honor Fasilitator GIS &amp; Pemetaan</t>
  </si>
  <si>
    <t>K. 1.3</t>
  </si>
  <si>
    <t>SK 1.3.1</t>
  </si>
  <si>
    <t>SK 1.3.2</t>
  </si>
  <si>
    <t>K 1.4</t>
  </si>
  <si>
    <t>SK 1.4.1</t>
  </si>
  <si>
    <t>SK 1.4.2</t>
  </si>
  <si>
    <t>SK 1.4.3</t>
  </si>
  <si>
    <t>SK 1.4.4</t>
  </si>
  <si>
    <t>K1.1</t>
  </si>
  <si>
    <t>SK.1.1.1</t>
  </si>
  <si>
    <t xml:space="preserve">SK.1.1.2. </t>
  </si>
  <si>
    <t xml:space="preserve">SK1.1.3. </t>
  </si>
  <si>
    <t xml:space="preserve">SK1.1.4 </t>
  </si>
  <si>
    <t>SK.1.2.1.</t>
  </si>
  <si>
    <t>Pelatihan Pemetaan Partisipatif</t>
  </si>
  <si>
    <t>Stationary Kit</t>
  </si>
  <si>
    <t>ATK dan penggandaan bahan</t>
  </si>
  <si>
    <t>Konsumsi peserta</t>
  </si>
  <si>
    <t>Transportasi  Fasilitator GIS dan Pemetaan</t>
  </si>
  <si>
    <t>Transportasi  Tim Managemen</t>
  </si>
  <si>
    <t>Akomodasi Tim Managemen</t>
  </si>
  <si>
    <t>Konsumsi Tim Managemen</t>
  </si>
  <si>
    <t>Biaya Pelaksanaan Pemetaan Partisipatif</t>
  </si>
  <si>
    <t xml:space="preserve">ATK  </t>
  </si>
  <si>
    <t>Konsumsi harian peserta (tim pemetaan dari masyarakat)</t>
  </si>
  <si>
    <t>Biaya Penyelesaian Digitasi Peta Partisipatif (dilaksanakan di Bengkulu)</t>
  </si>
  <si>
    <t>Transportasi  perwakilan masyarakat (desa-bengkulu pp)</t>
  </si>
  <si>
    <t>Akomodasi perwakilan masyarakat</t>
  </si>
  <si>
    <t>Konsumsi perwakilan masyarakat</t>
  </si>
  <si>
    <t>Pengganti hari kerja perwakilan masyarakat</t>
  </si>
  <si>
    <t>Biaya Digitasi Hasil Pemetaan partisipatif</t>
  </si>
  <si>
    <t>Perbanyakan Peta Digital Hasil Pemetaan Partisipatif</t>
  </si>
  <si>
    <t>Honor Fasilitator GIS dan Pemetaan</t>
  </si>
  <si>
    <t>1 orang * 13 bulan</t>
  </si>
  <si>
    <t xml:space="preserve"> </t>
  </si>
  <si>
    <t>SK.1.3.1.</t>
  </si>
  <si>
    <t>1 paket</t>
  </si>
  <si>
    <t>sub-Total 1.3.1.</t>
  </si>
  <si>
    <t>SK.1.3.2</t>
  </si>
  <si>
    <t>sub-Total 1.3.2.</t>
  </si>
  <si>
    <t>SK.1.4.1</t>
  </si>
  <si>
    <t xml:space="preserve">Serial FGD untuk penyusunan dokumen usulan </t>
  </si>
  <si>
    <t>sub-Total 1.4.1</t>
  </si>
  <si>
    <t>SK.1.4.2</t>
  </si>
  <si>
    <t>sub-Total 1.4.2</t>
  </si>
  <si>
    <t>SK.1.4.3</t>
  </si>
  <si>
    <t xml:space="preserve">Launching pengesahan dokumen </t>
  </si>
  <si>
    <t>sub-Total 1.4.3</t>
  </si>
  <si>
    <t>SK.1.4.4</t>
  </si>
  <si>
    <t>TOTAL BIAYA KOMPONEN 1</t>
  </si>
  <si>
    <t>H 1. Tersedianya acuan spatial dan non-spatial pengembangan koridor habitat di kawasan penyangga TNKS blok Bujang Raba</t>
  </si>
  <si>
    <t>TU 1. Mengetahui potensi pengembangan koridor habitat di kawasan penyangga TNKS blok Bujang Raba</t>
  </si>
  <si>
    <t>SK 1.1.1. Pengadaan citra satelit  dan pengumpulan dokumen RTRW Kabupaten Bungo</t>
  </si>
  <si>
    <t>MoV 1.1.1. Citra Satelit, Peta RBI, dan dokumen RTRW kabupaten Bungo</t>
  </si>
  <si>
    <t>As.1.1.1. Citra satelit, peta, dan dokumen RTRW mudah diperoleh, Bappeda bersedia bekerja sama</t>
  </si>
  <si>
    <t>SK 1.1.3. Ground Check di 50 titik di 5 desa</t>
  </si>
  <si>
    <t>SK 1.1.2. Interpretasi dan analisis citra satelit, peta RBI, dan dokumen RTRW</t>
  </si>
  <si>
    <t>As.1.1.3. Lokasi ground check mudah dijangkau, tidak ada bencana alam</t>
  </si>
  <si>
    <t>SK 1.1.4. Analisis tutupan hutan, penggunaan lahan dan potensi pemodelan PHBM di kawasan penyangga TNKS blok Bujang Raba</t>
  </si>
  <si>
    <t>Komponen 1. Pemetaan potensi koridor habitat dan sinkronisasi kebijakan pembangunan kehutanan di kawasan penyangga TNKS Blok Bujang Raba</t>
  </si>
  <si>
    <t>K 1.1. Mengidentifikasi kondisi tutupan hutan, penggunaan lahan,  potensi koridor dan potensi PHBM dengan melakukan pemetaan dan analisis spasial  di kawasan penyangga TNKS blok Bujang Raba</t>
  </si>
  <si>
    <t>L 1.1. Dihasilkannya peta kondisi tutupan hutan, penggunaan lahan,  potensi koridor dan potensi PHBM  di kawasan penyangga TNKS blok Bujang Raba</t>
  </si>
  <si>
    <t>Ind 1.1.2. Peta awal Analisis tutupan hutan, penggunaan lahan dan potensi pemodelan PHBM di 5 lokasi di kawasan penyangga TNKS blok Bujang Raba</t>
  </si>
  <si>
    <t>Ind 1.1.4. Hasil analisis 4 peta tematik: peta tutupan hutan,  penggunaan lahan, potensi koridor, dan potensi PHBM di kawasan penyangga TNKS blok Bujang Raba</t>
  </si>
  <si>
    <t>MoV 1.1.2. peta awal 4 tematik</t>
  </si>
  <si>
    <t>MoV 1.1.4. Dokumen 4 peta tematik: peta tutupan hutan,  penggunaan lahan, potensi koridor, dan potensi PHBM</t>
  </si>
  <si>
    <t>K 1.2.  Memetakan potensi 5 lokasi calon  PHBM di kawasan penyangga TNKS blok Bujang Raba</t>
  </si>
  <si>
    <t>L 1.2. Tersedianya dan peta   potensi 5 lokasi calon  PHBM di kawasan penyangga TNKS blok Bujang Raba</t>
  </si>
  <si>
    <t>SK 1.2.1. Pemetaan partisipatif di 5 lokasi calon  PHBM di kawasan penyangga TNKS blok Bujang Raba</t>
  </si>
  <si>
    <t>Terwujudnya kelestarian 123.456 ha habitat kawasan penyangga TN Kerinci Seblat blok Bujang-Raba  berdasarkan pengelolaan ekosistem hutan  berkelanjutan berbasis masyarakat dan pengembangan ekonomi lestari berbasis potensi lokal di Kabupaten Bungo, provinsi Jambi</t>
  </si>
  <si>
    <t xml:space="preserve">K. 1.3. Membangun baseline data sosial ekonomi dan biofisik  dengan melakukan PRA di 5 lokasi calon PHBM </t>
  </si>
  <si>
    <t>L. 1.3. Tersedianya baseline data sosial ekonomi dan biofisik  dari hasil PRA di 5 lokasi calon PHBM</t>
  </si>
  <si>
    <t>MoV 1.3.1. Modul pelatihan, hasil evaluasi pelatihan</t>
  </si>
  <si>
    <t>As. 1.2.1. Masyarakat dan pemerintah setempat mendukung dan bersedia memberikan data / informasi</t>
  </si>
  <si>
    <t>As.1.3.2. Masyarakat dan pemerintah setempat mendukung dan bersedia memberikan data / informasi</t>
  </si>
  <si>
    <t>Ind 1.3.2. Tersedianya baseline data sosial ekonomi dan biofisik  di 5 desa calon PHBM</t>
  </si>
  <si>
    <t>SK 1.3.2. PRA di 5 desa calon lokasi PHBM tentang kondisi ekonomi dan biofisik</t>
  </si>
  <si>
    <t>MoV 1.3.2. Dokumen baseline data 5 desa</t>
  </si>
  <si>
    <t>L 1.4. Inisiatif PHBM di kawasan penyangga TNKS Blok Bujang Raba diakomodir dalam Dokumen Rencana Kerja Dinas  Kehutanan Kabupaten Bungo</t>
  </si>
  <si>
    <t>K 1.4.  Pengajuan usulan integrasi PHBM ke dalam dokumen Dokumen Rencana Kerja Dinas  Kehutanan Kabupaten Bungo</t>
  </si>
  <si>
    <t>Ind 1.4.1. Dokumen usulan integrasi 5 calon PHBM</t>
  </si>
  <si>
    <t>As.1.4.1. Dinhut Kab Bungo bersedia melakukan integrasi program kehutanan</t>
  </si>
  <si>
    <t>SK.1.4.1. Menyusun dokumen usulan integrasi 5 lokasi calon PHBM ke dalam rencana Kerja Dinhut Kab. Bungo</t>
  </si>
  <si>
    <t>SK 1.4.2. Serial pertemuan pembahasan usulan  integrasi 5 lokasi calon PHBM ke dalam rencana Kerja Dinhut Kab. Bungo</t>
  </si>
  <si>
    <t>Ind 1.4.2. Draft Dokumen kerangka program bidang kehutanan  Dinas Kehutanan Kab. Bungo yang mengakomodasi usulan integrasi 5 calon PHBM</t>
  </si>
  <si>
    <t>As.1.4.2. Dinhut Kab Bungo bersedia melakukan integrasi program kehutanan</t>
  </si>
  <si>
    <t>As.1.4.3. Dinhut Kab Bungo bersedia melakukan integrasi program kehutanan</t>
  </si>
  <si>
    <t>SK 1.4.3. Pengawalan Pengesahan dokumen kerangka program bidang kehutanan Kab Bungo yang mengakomodasi kegiatan di 5 lokasi calon PHBM</t>
  </si>
  <si>
    <t>SK 1.4.4. Mengawal proses penyusunan anggaran kerja tahunan Dinas Kehutanan Kab. Bungo</t>
  </si>
  <si>
    <t>MoV 1.4.4 Dokumen anggaran kerja tahunan Dinas Kehutanan Kab. Bungo</t>
  </si>
  <si>
    <t xml:space="preserve">K.1.4. </t>
  </si>
  <si>
    <t>10 scene</t>
  </si>
  <si>
    <t>50 blats</t>
  </si>
  <si>
    <t>Pengadaan Peta Tata Ruang di 1 kabupaten</t>
  </si>
  <si>
    <t>1 org * 5 lokasi * pp</t>
  </si>
  <si>
    <t>1 org * 5 lokasi * 2 hari</t>
  </si>
  <si>
    <t>10 copy</t>
  </si>
  <si>
    <t>1 org * 5 lokasi * 6 hari</t>
  </si>
  <si>
    <t>3 tema 10 copy</t>
  </si>
  <si>
    <t>5 lokasi * 30 orang * 1 paket</t>
  </si>
  <si>
    <t>5 desa * 1 paket</t>
  </si>
  <si>
    <t>5 lokasi * 32 orang * 2 hari</t>
  </si>
  <si>
    <t>5 lokasi * 1 orang * pp</t>
  </si>
  <si>
    <t>5 lokasi * 1 orang * 4 hari</t>
  </si>
  <si>
    <t>5 lokasi * 2 orang * pp</t>
  </si>
  <si>
    <t>5 lokasi * 2 orang * 2 hari</t>
  </si>
  <si>
    <t>5 lokasi * 1 paket</t>
  </si>
  <si>
    <t>5 lokasi * 30 orang * 15 hari</t>
  </si>
  <si>
    <t>5 lokasi * 1 orang * 2 hari</t>
  </si>
  <si>
    <t>5 lokasi * 4 tema * 5 copy</t>
  </si>
  <si>
    <t>TAHUN 1</t>
  </si>
  <si>
    <t>TAHUN 2</t>
  </si>
  <si>
    <t>TAHUN 3</t>
  </si>
  <si>
    <t>Jun</t>
  </si>
  <si>
    <t>Jul</t>
  </si>
  <si>
    <t>Aug</t>
  </si>
  <si>
    <t>Sep</t>
  </si>
  <si>
    <t>Oct</t>
  </si>
  <si>
    <t>Dec</t>
  </si>
  <si>
    <t>Apr</t>
  </si>
  <si>
    <t>May</t>
  </si>
  <si>
    <t>sub-Total SK.1.4.4</t>
  </si>
  <si>
    <t>SUB TOTAL KEGIATAN 1.3</t>
  </si>
  <si>
    <t>SUB TOTAL  BIAYA KEGIATAN 1.4.</t>
  </si>
  <si>
    <t>SUB TOTAL KEGIATAN 1.1.</t>
  </si>
  <si>
    <t>SUB TOTAL KEGIATAN 1.2.</t>
  </si>
  <si>
    <t>Dihasilkannya 1 set peta (4 peta tematik) kondisi tutupan hutan, penggunaan lahan, potensi koridor, dan potensi PHBM</t>
  </si>
  <si>
    <t>4 peta final tematik</t>
  </si>
  <si>
    <t>4 peta tematik untuk 5 lokasi HKm dan 1 HR</t>
  </si>
  <si>
    <t>Ind 1.2.1. Tersedianya 4 peta tematik (tata guna lahan, batas wilayah kelola, potensi ) 5 lokasi calon  PHBM di   di kawasan penyangga TNKS blok Bujang Raba</t>
  </si>
  <si>
    <t>10 orang mampu menerapkan metodologi PRA</t>
  </si>
  <si>
    <t>Tersedia baseline data sosial ekonomi dan biofisik di 5 lokasi calon PHBM</t>
  </si>
  <si>
    <t>Usulan integrasi 5 PHBM ke dalam Rencana Kerja Dinhut Kab. Bungo</t>
  </si>
  <si>
    <t>5 PHBM dalam Koridor TNBBS-TNKS diakomodir dalam Dokumen Rencana Kerja Dinas  Kehutanan Kab. Bungo</t>
  </si>
  <si>
    <t>Dokumen usulan integrasi 5 calon PHBM</t>
  </si>
  <si>
    <t>Draft Dokumen kerangka program bidang kehutanan Kab. Bungo  yang mengakomodasi usulan integrasi  5 PHBM</t>
  </si>
  <si>
    <t>Dokumen kerangka program bidang kehutanan  yang disahkan oleh Kepala Dinas Kehutanan Kab. Bungo</t>
  </si>
  <si>
    <t>Anggaran kerja tahunan Dinas Kehutanan Kab. Bungo yang mengakomodasi usulan integrasi PHBM</t>
  </si>
  <si>
    <t>Ind 1.4.4. Anggaran kerja tahunan Dinas Kehutanan Kab. Bungo  yang mengakomodasi usulan integrasi 5 calon PHBM</t>
  </si>
  <si>
    <t>Ind 1.4.3. Dokumen kerangka program bidang kehutanan  yang disahkan oleh Kepala Dinas Kab. Bungo telah mengakomodasi kegiatan di 5 lokasi calon PHBM</t>
  </si>
  <si>
    <t>Mov 1.4.3. Dokumen kerangka program bidang kehutanan yang mengakomodasi usulan integrasi PHBM yang disahkan oleh Kepala Dinas Kehutanan Kab. Bungo</t>
  </si>
  <si>
    <t>Divisi Comdev, Dinhut Kab. Bungo</t>
  </si>
  <si>
    <t xml:space="preserve">peta tematik </t>
  </si>
  <si>
    <t>Laporan / Baseline Data Sosial, ekonomi, dan biofisik 5 likasi calon PHBM</t>
  </si>
  <si>
    <t>Laporan pelatihan / TOT fasilitator PRA</t>
  </si>
  <si>
    <t>Laporan pengusulan integrasi PHBM ke dalam Rencana Kerja Dinhut Kab. Bungo</t>
  </si>
  <si>
    <t>pendapatan Rp. 2 juta / KK (BPS 2010)</t>
  </si>
  <si>
    <t>Belum ada data</t>
  </si>
  <si>
    <t>Perbanyakan Peta tematik tutupan hutan, penggunaaan lahan, potensi koridor, dan peta potensi PHBM masing-masing 10 eksemplar</t>
  </si>
  <si>
    <t xml:space="preserve">10 scene  Citra satelit,  50 nlp Peta RBI (2014), dan 1  dokumen RTRW Kabupaten </t>
  </si>
  <si>
    <t>10 scene  Citra satelit,  50 nlp Peta RBI,  (2015)</t>
  </si>
  <si>
    <t>Ind 1.1.1. Tersedianya 10 scene  Citra satelit (tahun 2014 dan 2015),  50 nlp Peta RBI, dan 1   dokumen RTRW Kabupaten</t>
  </si>
  <si>
    <t>Peta awal 4 tematik (2014)</t>
  </si>
  <si>
    <t>peta awal 4 tematik (2015)</t>
  </si>
  <si>
    <t>70% tutupan hutan (TNKS, 2012)</t>
  </si>
  <si>
    <t>4 peta tematik, tutupan hutan 60%</t>
  </si>
  <si>
    <t xml:space="preserve">Anggaran </t>
  </si>
  <si>
    <t xml:space="preserve">Tahun I </t>
  </si>
  <si>
    <t xml:space="preserve">Tahun II </t>
  </si>
  <si>
    <t xml:space="preserve">Tahun III </t>
  </si>
  <si>
    <t>Lampiran F. Arus Dana / Cash Flow Konsorsium Sumatera Lestari</t>
  </si>
  <si>
    <t>dst</t>
  </si>
  <si>
    <t>dst..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</si>
</sst>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&quot;Rp&quot;#,##0"/>
    <numFmt numFmtId="165" formatCode="_-* #,##0_-;\-* #,##0_-;_-* &quot;-&quot;_-;_-@_-"/>
    <numFmt numFmtId="166" formatCode="_-* #,##0.0_-;\-* #,##0.0_-;_-* &quot;-&quot;_-;_-@_-"/>
    <numFmt numFmtId="167" formatCode="0_);\(0\)"/>
    <numFmt numFmtId="168" formatCode="_-* #,##0.00_-;\-* #,##0.00_-;_-* &quot;-&quot;_-;_-@_-"/>
  </numFmts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name val="Verdana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sz val="9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Arial Narrow"/>
      <family val="2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1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6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8" fillId="0" borderId="4" xfId="1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4" fillId="0" borderId="4" xfId="1" applyFont="1" applyFill="1" applyBorder="1" applyAlignment="1">
      <alignment horizontal="left" vertical="top"/>
    </xf>
    <xf numFmtId="0" fontId="8" fillId="0" borderId="4" xfId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4" borderId="4" xfId="1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8" fillId="0" borderId="0" xfId="0" applyFont="1"/>
    <xf numFmtId="0" fontId="4" fillId="0" borderId="0" xfId="0" applyFont="1"/>
    <xf numFmtId="0" fontId="4" fillId="6" borderId="18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vertical="top" wrapText="1"/>
    </xf>
    <xf numFmtId="164" fontId="8" fillId="0" borderId="4" xfId="4" applyNumberFormat="1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164" fontId="8" fillId="0" borderId="4" xfId="4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1" fillId="0" borderId="0" xfId="0" applyNumberFormat="1" applyFont="1" applyAlignment="1">
      <alignment horizontal="left" vertical="top" wrapText="1"/>
    </xf>
    <xf numFmtId="41" fontId="1" fillId="0" borderId="0" xfId="4" applyFont="1" applyAlignment="1">
      <alignment horizontal="left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horizontal="center" vertical="top" wrapText="1"/>
    </xf>
    <xf numFmtId="0" fontId="4" fillId="5" borderId="28" xfId="1" applyFont="1" applyFill="1" applyBorder="1" applyAlignment="1">
      <alignment horizontal="center" vertical="top" wrapText="1"/>
    </xf>
    <xf numFmtId="41" fontId="4" fillId="5" borderId="28" xfId="4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1" fontId="8" fillId="0" borderId="13" xfId="4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8" fillId="0" borderId="30" xfId="1" applyNumberFormat="1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top"/>
    </xf>
    <xf numFmtId="0" fontId="8" fillId="0" borderId="3" xfId="1" applyNumberFormat="1" applyFont="1" applyFill="1" applyBorder="1" applyAlignment="1">
      <alignment horizontal="left" vertical="top" wrapText="1"/>
    </xf>
    <xf numFmtId="0" fontId="8" fillId="0" borderId="4" xfId="1" applyNumberFormat="1" applyFont="1" applyFill="1" applyBorder="1" applyAlignment="1">
      <alignment horizontal="left" vertical="top" wrapText="1"/>
    </xf>
    <xf numFmtId="3" fontId="8" fillId="0" borderId="5" xfId="1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 wrapText="1"/>
    </xf>
    <xf numFmtId="0" fontId="8" fillId="0" borderId="4" xfId="4" quotePrefix="1" applyNumberFormat="1" applyFont="1" applyFill="1" applyBorder="1" applyAlignment="1">
      <alignment horizontal="left" vertical="top" wrapText="1"/>
    </xf>
    <xf numFmtId="0" fontId="8" fillId="0" borderId="4" xfId="4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3" xfId="0" applyNumberFormat="1" applyFont="1" applyFill="1" applyBorder="1" applyAlignment="1">
      <alignment horizontal="left" vertical="top" wrapText="1"/>
    </xf>
    <xf numFmtId="0" fontId="8" fillId="0" borderId="4" xfId="4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/>
    </xf>
    <xf numFmtId="3" fontId="8" fillId="0" borderId="33" xfId="1" applyNumberFormat="1" applyFont="1" applyFill="1" applyBorder="1" applyAlignment="1">
      <alignment horizontal="left" vertical="top" wrapText="1"/>
    </xf>
    <xf numFmtId="0" fontId="1" fillId="4" borderId="3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3" fontId="8" fillId="4" borderId="5" xfId="1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41" fontId="8" fillId="0" borderId="0" xfId="4" applyFont="1" applyBorder="1" applyAlignment="1">
      <alignment horizontal="right" vertical="top"/>
    </xf>
    <xf numFmtId="41" fontId="8" fillId="0" borderId="0" xfId="4" applyFont="1" applyAlignment="1">
      <alignment horizontal="right" vertical="top"/>
    </xf>
    <xf numFmtId="9" fontId="8" fillId="0" borderId="0" xfId="5" applyFont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41" fontId="17" fillId="8" borderId="4" xfId="4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9" fontId="17" fillId="8" borderId="4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top" wrapText="1"/>
    </xf>
    <xf numFmtId="41" fontId="13" fillId="0" borderId="4" xfId="4" applyFont="1" applyBorder="1" applyAlignment="1">
      <alignment horizontal="right" vertical="top" wrapText="1"/>
    </xf>
    <xf numFmtId="3" fontId="13" fillId="0" borderId="4" xfId="0" applyNumberFormat="1" applyFont="1" applyBorder="1" applyAlignment="1">
      <alignment horizontal="right" vertical="top" wrapText="1"/>
    </xf>
    <xf numFmtId="9" fontId="13" fillId="0" borderId="4" xfId="5" applyFont="1" applyBorder="1" applyAlignment="1">
      <alignment horizontal="right" vertical="top" wrapText="1"/>
    </xf>
    <xf numFmtId="0" fontId="13" fillId="0" borderId="4" xfId="0" applyFont="1" applyFill="1" applyBorder="1" applyAlignment="1">
      <alignment horizontal="right" vertical="top" wrapText="1"/>
    </xf>
    <xf numFmtId="41" fontId="13" fillId="0" borderId="4" xfId="4" applyFont="1" applyFill="1" applyBorder="1" applyAlignment="1">
      <alignment horizontal="right" vertical="top" wrapText="1"/>
    </xf>
    <xf numFmtId="3" fontId="13" fillId="0" borderId="4" xfId="0" applyNumberFormat="1" applyFont="1" applyFill="1" applyBorder="1" applyAlignment="1">
      <alignment horizontal="right" vertical="top" wrapText="1"/>
    </xf>
    <xf numFmtId="9" fontId="13" fillId="0" borderId="4" xfId="5" applyFont="1" applyFill="1" applyBorder="1" applyAlignment="1">
      <alignment horizontal="right" vertical="top" wrapText="1"/>
    </xf>
    <xf numFmtId="0" fontId="13" fillId="11" borderId="4" xfId="0" applyFont="1" applyFill="1" applyBorder="1" applyAlignment="1">
      <alignment horizontal="right" vertical="top" wrapText="1"/>
    </xf>
    <xf numFmtId="41" fontId="13" fillId="11" borderId="4" xfId="4" applyFont="1" applyFill="1" applyBorder="1" applyAlignment="1">
      <alignment horizontal="right" vertical="top" wrapText="1"/>
    </xf>
    <xf numFmtId="3" fontId="13" fillId="11" borderId="4" xfId="0" applyNumberFormat="1" applyFont="1" applyFill="1" applyBorder="1" applyAlignment="1">
      <alignment horizontal="right" vertical="top" wrapText="1"/>
    </xf>
    <xf numFmtId="9" fontId="13" fillId="11" borderId="4" xfId="5" applyFont="1" applyFill="1" applyBorder="1" applyAlignment="1">
      <alignment horizontal="right" vertical="top" wrapText="1"/>
    </xf>
    <xf numFmtId="0" fontId="13" fillId="7" borderId="4" xfId="0" applyFont="1" applyFill="1" applyBorder="1" applyAlignment="1">
      <alignment horizontal="right" vertical="top" wrapText="1"/>
    </xf>
    <xf numFmtId="41" fontId="13" fillId="7" borderId="4" xfId="4" applyFont="1" applyFill="1" applyBorder="1" applyAlignment="1">
      <alignment horizontal="right" vertical="top" wrapText="1"/>
    </xf>
    <xf numFmtId="3" fontId="12" fillId="7" borderId="4" xfId="0" applyNumberFormat="1" applyFont="1" applyFill="1" applyBorder="1" applyAlignment="1">
      <alignment horizontal="right" vertical="top" wrapText="1"/>
    </xf>
    <xf numFmtId="9" fontId="12" fillId="7" borderId="4" xfId="5" applyFont="1" applyFill="1" applyBorder="1" applyAlignment="1">
      <alignment horizontal="right" vertical="top" wrapText="1"/>
    </xf>
    <xf numFmtId="17" fontId="13" fillId="5" borderId="14" xfId="1" applyNumberFormat="1" applyFont="1" applyFill="1" applyBorder="1" applyAlignment="1">
      <alignment horizontal="center" vertical="top" textRotation="90"/>
    </xf>
    <xf numFmtId="0" fontId="19" fillId="0" borderId="0" xfId="0" applyFont="1" applyAlignment="1">
      <alignment vertical="top"/>
    </xf>
    <xf numFmtId="0" fontId="4" fillId="5" borderId="7" xfId="1" applyFont="1" applyFill="1" applyBorder="1" applyAlignment="1">
      <alignment horizontal="center" vertical="top" wrapText="1"/>
    </xf>
    <xf numFmtId="0" fontId="4" fillId="5" borderId="8" xfId="1" applyFont="1" applyFill="1" applyBorder="1" applyAlignment="1">
      <alignment horizontal="center" vertical="top" wrapText="1"/>
    </xf>
    <xf numFmtId="0" fontId="4" fillId="5" borderId="10" xfId="1" applyNumberFormat="1" applyFont="1" applyFill="1" applyBorder="1" applyAlignment="1">
      <alignment horizontal="center" vertical="top" wrapText="1"/>
    </xf>
    <xf numFmtId="0" fontId="4" fillId="5" borderId="12" xfId="1" applyNumberFormat="1" applyFont="1" applyFill="1" applyBorder="1" applyAlignment="1">
      <alignment horizontal="center" vertical="top" wrapText="1"/>
    </xf>
    <xf numFmtId="0" fontId="4" fillId="5" borderId="15" xfId="1" applyNumberFormat="1" applyFont="1" applyFill="1" applyBorder="1" applyAlignment="1">
      <alignment horizontal="center" vertical="top" wrapText="1"/>
    </xf>
    <xf numFmtId="0" fontId="4" fillId="5" borderId="16" xfId="1" applyFont="1" applyFill="1" applyBorder="1" applyAlignment="1">
      <alignment horizontal="center" vertical="top" wrapText="1"/>
    </xf>
    <xf numFmtId="0" fontId="4" fillId="5" borderId="38" xfId="1" applyFont="1" applyFill="1" applyBorder="1" applyAlignment="1">
      <alignment horizontal="center" vertical="top" wrapText="1"/>
    </xf>
    <xf numFmtId="41" fontId="4" fillId="5" borderId="39" xfId="4" applyFont="1" applyFill="1" applyBorder="1" applyAlignment="1">
      <alignment horizontal="center" vertical="top" wrapText="1"/>
    </xf>
    <xf numFmtId="0" fontId="4" fillId="4" borderId="3" xfId="1" applyNumberFormat="1" applyFont="1" applyFill="1" applyBorder="1" applyAlignment="1">
      <alignment horizontal="left" vertical="top" wrapText="1"/>
    </xf>
    <xf numFmtId="0" fontId="4" fillId="4" borderId="4" xfId="1" applyNumberFormat="1" applyFont="1" applyFill="1" applyBorder="1" applyAlignment="1">
      <alignment horizontal="left" vertical="top" wrapText="1"/>
    </xf>
    <xf numFmtId="0" fontId="4" fillId="4" borderId="5" xfId="1" applyFont="1" applyFill="1" applyBorder="1" applyAlignment="1">
      <alignment horizontal="left" vertical="top" wrapText="1"/>
    </xf>
    <xf numFmtId="0" fontId="4" fillId="4" borderId="6" xfId="1" applyFont="1" applyFill="1" applyBorder="1" applyAlignment="1">
      <alignment horizontal="left" vertical="top" wrapText="1"/>
    </xf>
    <xf numFmtId="0" fontId="4" fillId="4" borderId="5" xfId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3" fillId="0" borderId="13" xfId="1" applyFont="1" applyBorder="1" applyAlignment="1">
      <alignment horizontal="left" vertical="top"/>
    </xf>
    <xf numFmtId="41" fontId="13" fillId="0" borderId="13" xfId="4" applyFont="1" applyBorder="1" applyAlignment="1">
      <alignment horizontal="left" vertical="top" wrapText="1"/>
    </xf>
    <xf numFmtId="0" fontId="13" fillId="0" borderId="14" xfId="1" applyNumberFormat="1" applyFont="1" applyBorder="1" applyAlignment="1">
      <alignment horizontal="left" vertical="top" wrapText="1"/>
    </xf>
    <xf numFmtId="0" fontId="13" fillId="0" borderId="13" xfId="1" applyNumberFormat="1" applyFont="1" applyBorder="1" applyAlignment="1">
      <alignment horizontal="left" vertical="top" wrapText="1"/>
    </xf>
    <xf numFmtId="0" fontId="13" fillId="0" borderId="40" xfId="1" applyFont="1" applyBorder="1" applyAlignment="1">
      <alignment horizontal="left" vertical="top" wrapText="1"/>
    </xf>
    <xf numFmtId="0" fontId="13" fillId="0" borderId="41" xfId="1" applyFont="1" applyBorder="1" applyAlignment="1">
      <alignment horizontal="left" vertical="top" wrapText="1"/>
    </xf>
    <xf numFmtId="0" fontId="13" fillId="0" borderId="29" xfId="1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5" borderId="10" xfId="1" applyFont="1" applyFill="1" applyBorder="1" applyAlignment="1">
      <alignment horizontal="center" vertical="top" wrapText="1"/>
    </xf>
    <xf numFmtId="0" fontId="10" fillId="5" borderId="12" xfId="1" applyFont="1" applyFill="1" applyBorder="1" applyAlignment="1">
      <alignment horizontal="center" vertical="top" wrapText="1"/>
    </xf>
    <xf numFmtId="0" fontId="10" fillId="5" borderId="20" xfId="1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top" wrapText="1"/>
    </xf>
    <xf numFmtId="0" fontId="12" fillId="9" borderId="4" xfId="0" applyFont="1" applyFill="1" applyBorder="1" applyAlignment="1">
      <alignment horizontal="right" vertical="center" wrapText="1"/>
    </xf>
    <xf numFmtId="41" fontId="12" fillId="9" borderId="4" xfId="4" applyFont="1" applyFill="1" applyBorder="1" applyAlignment="1">
      <alignment horizontal="right" vertical="center" wrapText="1"/>
    </xf>
    <xf numFmtId="9" fontId="12" fillId="9" borderId="4" xfId="5" applyFont="1" applyFill="1" applyBorder="1" applyAlignment="1">
      <alignment horizontal="right" vertical="center" wrapText="1"/>
    </xf>
    <xf numFmtId="0" fontId="1" fillId="0" borderId="0" xfId="0" applyFont="1"/>
    <xf numFmtId="0" fontId="21" fillId="12" borderId="4" xfId="0" applyFont="1" applyFill="1" applyBorder="1"/>
    <xf numFmtId="41" fontId="1" fillId="0" borderId="0" xfId="4" applyFont="1"/>
    <xf numFmtId="9" fontId="1" fillId="0" borderId="0" xfId="5" applyFont="1"/>
    <xf numFmtId="0" fontId="11" fillId="0" borderId="4" xfId="0" applyFont="1" applyBorder="1"/>
    <xf numFmtId="0" fontId="11" fillId="9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10" borderId="4" xfId="0" applyFont="1" applyFill="1" applyBorder="1"/>
    <xf numFmtId="0" fontId="11" fillId="0" borderId="0" xfId="0" applyFont="1"/>
    <xf numFmtId="0" fontId="11" fillId="0" borderId="4" xfId="0" applyFont="1" applyFill="1" applyBorder="1"/>
    <xf numFmtId="0" fontId="11" fillId="0" borderId="0" xfId="0" applyFont="1" applyFill="1"/>
    <xf numFmtId="0" fontId="11" fillId="7" borderId="4" xfId="0" applyFont="1" applyFill="1" applyBorder="1"/>
    <xf numFmtId="0" fontId="8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17" fillId="0" borderId="0" xfId="0" applyFont="1" applyAlignment="1">
      <alignment vertical="top"/>
    </xf>
    <xf numFmtId="0" fontId="5" fillId="4" borderId="33" xfId="0" applyFont="1" applyFill="1" applyBorder="1" applyAlignment="1">
      <alignment vertical="top" wrapText="1"/>
    </xf>
    <xf numFmtId="0" fontId="5" fillId="4" borderId="42" xfId="0" applyFont="1" applyFill="1" applyBorder="1" applyAlignment="1">
      <alignment vertical="top" wrapText="1"/>
    </xf>
    <xf numFmtId="0" fontId="1" fillId="0" borderId="47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left" vertical="top"/>
    </xf>
    <xf numFmtId="0" fontId="1" fillId="0" borderId="48" xfId="0" applyFont="1" applyFill="1" applyBorder="1" applyAlignment="1">
      <alignment horizontal="left" vertical="top"/>
    </xf>
    <xf numFmtId="0" fontId="23" fillId="0" borderId="0" xfId="0" applyFont="1" applyAlignment="1">
      <alignment horizontal="left"/>
    </xf>
    <xf numFmtId="0" fontId="24" fillId="0" borderId="0" xfId="0" applyFont="1"/>
    <xf numFmtId="166" fontId="25" fillId="0" borderId="0" xfId="9" applyNumberFormat="1" applyFont="1" applyAlignment="1">
      <alignment horizontal="right"/>
    </xf>
    <xf numFmtId="166" fontId="25" fillId="0" borderId="0" xfId="4" applyNumberFormat="1" applyFont="1"/>
    <xf numFmtId="166" fontId="25" fillId="0" borderId="0" xfId="0" applyNumberFormat="1" applyFont="1"/>
    <xf numFmtId="166" fontId="25" fillId="0" borderId="0" xfId="0" applyNumberFormat="1" applyFont="1" applyFill="1"/>
    <xf numFmtId="166" fontId="25" fillId="13" borderId="44" xfId="0" applyNumberFormat="1" applyFont="1" applyFill="1" applyBorder="1"/>
    <xf numFmtId="0" fontId="26" fillId="0" borderId="0" xfId="0" applyFont="1" applyAlignment="1">
      <alignment horizontal="left"/>
    </xf>
    <xf numFmtId="0" fontId="27" fillId="0" borderId="0" xfId="0" applyFont="1"/>
    <xf numFmtId="166" fontId="28" fillId="0" borderId="0" xfId="9" applyNumberFormat="1" applyFont="1" applyAlignment="1">
      <alignment horizontal="right"/>
    </xf>
    <xf numFmtId="166" fontId="28" fillId="0" borderId="0" xfId="4" applyNumberFormat="1" applyFont="1"/>
    <xf numFmtId="166" fontId="28" fillId="0" borderId="0" xfId="0" applyNumberFormat="1" applyFont="1"/>
    <xf numFmtId="166" fontId="28" fillId="0" borderId="0" xfId="0" applyNumberFormat="1" applyFont="1" applyFill="1"/>
    <xf numFmtId="166" fontId="28" fillId="13" borderId="49" xfId="0" applyNumberFormat="1" applyFont="1" applyFill="1" applyBorder="1"/>
    <xf numFmtId="165" fontId="12" fillId="14" borderId="4" xfId="4" applyNumberFormat="1" applyFont="1" applyFill="1" applyBorder="1" applyAlignment="1">
      <alignment horizontal="center" vertical="center"/>
    </xf>
    <xf numFmtId="165" fontId="12" fillId="14" borderId="4" xfId="0" applyNumberFormat="1" applyFont="1" applyFill="1" applyBorder="1" applyAlignment="1">
      <alignment horizontal="center" vertical="center"/>
    </xf>
    <xf numFmtId="165" fontId="12" fillId="14" borderId="30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top" wrapText="1"/>
    </xf>
    <xf numFmtId="0" fontId="17" fillId="10" borderId="4" xfId="0" applyFont="1" applyFill="1" applyBorder="1" applyAlignment="1">
      <alignment vertical="top" wrapText="1"/>
    </xf>
    <xf numFmtId="166" fontId="13" fillId="10" borderId="32" xfId="9" applyNumberFormat="1" applyFont="1" applyFill="1" applyBorder="1" applyAlignment="1">
      <alignment horizontal="right" vertical="top" wrapText="1"/>
    </xf>
    <xf numFmtId="0" fontId="29" fillId="10" borderId="0" xfId="0" applyFont="1" applyFill="1" applyBorder="1" applyAlignment="1">
      <alignment vertical="top" wrapText="1"/>
    </xf>
    <xf numFmtId="166" fontId="30" fillId="10" borderId="4" xfId="0" applyNumberFormat="1" applyFont="1" applyFill="1" applyBorder="1" applyAlignment="1">
      <alignment vertical="top" wrapText="1"/>
    </xf>
    <xf numFmtId="166" fontId="31" fillId="15" borderId="4" xfId="0" applyNumberFormat="1" applyFont="1" applyFill="1" applyBorder="1" applyAlignment="1">
      <alignment vertical="top" wrapText="1"/>
    </xf>
    <xf numFmtId="166" fontId="31" fillId="16" borderId="4" xfId="0" applyNumberFormat="1" applyFont="1" applyFill="1" applyBorder="1" applyAlignment="1">
      <alignment vertical="top" wrapText="1"/>
    </xf>
    <xf numFmtId="166" fontId="31" fillId="17" borderId="4" xfId="0" applyNumberFormat="1" applyFont="1" applyFill="1" applyBorder="1" applyAlignment="1">
      <alignment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vertical="top" wrapText="1"/>
    </xf>
    <xf numFmtId="166" fontId="13" fillId="0" borderId="32" xfId="9" applyNumberFormat="1" applyFont="1" applyFill="1" applyBorder="1" applyAlignment="1">
      <alignment horizontal="right" vertical="top" wrapText="1"/>
    </xf>
    <xf numFmtId="166" fontId="13" fillId="0" borderId="32" xfId="4" applyNumberFormat="1" applyFont="1" applyFill="1" applyBorder="1" applyAlignment="1">
      <alignment vertical="top" wrapText="1"/>
    </xf>
    <xf numFmtId="166" fontId="13" fillId="0" borderId="32" xfId="0" applyNumberFormat="1" applyFont="1" applyFill="1" applyBorder="1" applyAlignment="1">
      <alignment vertical="top" wrapText="1"/>
    </xf>
    <xf numFmtId="166" fontId="13" fillId="0" borderId="34" xfId="0" applyNumberFormat="1" applyFont="1" applyFill="1" applyBorder="1" applyAlignment="1">
      <alignment vertical="top" wrapText="1"/>
    </xf>
    <xf numFmtId="0" fontId="12" fillId="19" borderId="10" xfId="0" applyFont="1" applyFill="1" applyBorder="1" applyAlignment="1">
      <alignment horizontal="center" vertical="top" wrapText="1"/>
    </xf>
    <xf numFmtId="0" fontId="31" fillId="19" borderId="19" xfId="0" applyFont="1" applyFill="1" applyBorder="1" applyAlignment="1">
      <alignment vertical="top" wrapText="1"/>
    </xf>
    <xf numFmtId="166" fontId="13" fillId="19" borderId="12" xfId="4" applyNumberFormat="1" applyFont="1" applyFill="1" applyBorder="1" applyAlignment="1">
      <alignment vertical="top" wrapText="1"/>
    </xf>
    <xf numFmtId="166" fontId="13" fillId="19" borderId="12" xfId="0" applyNumberFormat="1" applyFont="1" applyFill="1" applyBorder="1" applyAlignment="1">
      <alignment vertical="top" wrapText="1"/>
    </xf>
    <xf numFmtId="166" fontId="13" fillId="19" borderId="15" xfId="0" applyNumberFormat="1" applyFont="1" applyFill="1" applyBorder="1" applyAlignment="1">
      <alignment vertical="top" wrapText="1"/>
    </xf>
    <xf numFmtId="0" fontId="32" fillId="11" borderId="14" xfId="0" applyFont="1" applyFill="1" applyBorder="1" applyAlignment="1">
      <alignment horizontal="left" vertical="top"/>
    </xf>
    <xf numFmtId="0" fontId="31" fillId="11" borderId="13" xfId="0" applyFont="1" applyFill="1" applyBorder="1" applyAlignment="1">
      <alignment horizontal="left" vertical="top" wrapText="1"/>
    </xf>
    <xf numFmtId="166" fontId="13" fillId="0" borderId="13" xfId="4" applyNumberFormat="1" applyFont="1" applyFill="1" applyBorder="1" applyAlignment="1">
      <alignment horizontal="left" vertical="top" wrapText="1"/>
    </xf>
    <xf numFmtId="166" fontId="13" fillId="0" borderId="13" xfId="0" applyNumberFormat="1" applyFont="1" applyFill="1" applyBorder="1" applyAlignment="1">
      <alignment horizontal="left" vertical="top" wrapText="1"/>
    </xf>
    <xf numFmtId="166" fontId="13" fillId="0" borderId="36" xfId="0" applyNumberFormat="1" applyFont="1" applyFill="1" applyBorder="1" applyAlignment="1">
      <alignment horizontal="left" vertical="top" wrapText="1"/>
    </xf>
    <xf numFmtId="164" fontId="30" fillId="11" borderId="3" xfId="9" applyNumberFormat="1" applyFont="1" applyFill="1" applyBorder="1" applyAlignment="1">
      <alignment vertical="top" wrapText="1"/>
    </xf>
    <xf numFmtId="0" fontId="30" fillId="11" borderId="4" xfId="0" applyFont="1" applyFill="1" applyBorder="1" applyAlignment="1">
      <alignment horizontal="left" vertical="top" wrapText="1"/>
    </xf>
    <xf numFmtId="168" fontId="13" fillId="0" borderId="4" xfId="4" applyNumberFormat="1" applyFont="1" applyFill="1" applyBorder="1" applyAlignment="1">
      <alignment horizontal="left" vertical="top" wrapText="1"/>
    </xf>
    <xf numFmtId="166" fontId="13" fillId="0" borderId="4" xfId="0" applyNumberFormat="1" applyFont="1" applyFill="1" applyBorder="1" applyAlignment="1">
      <alignment horizontal="left" vertical="top" wrapText="1"/>
    </xf>
    <xf numFmtId="166" fontId="13" fillId="0" borderId="30" xfId="0" applyNumberFormat="1" applyFont="1" applyFill="1" applyBorder="1" applyAlignment="1">
      <alignment horizontal="left" vertical="top" wrapText="1"/>
    </xf>
    <xf numFmtId="166" fontId="13" fillId="0" borderId="4" xfId="4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2" fillId="11" borderId="31" xfId="0" applyFont="1" applyFill="1" applyBorder="1" applyAlignment="1">
      <alignment horizontal="left" vertical="top"/>
    </xf>
    <xf numFmtId="0" fontId="31" fillId="11" borderId="4" xfId="0" applyFont="1" applyFill="1" applyBorder="1" applyAlignment="1">
      <alignment vertical="top" wrapText="1"/>
    </xf>
    <xf numFmtId="166" fontId="13" fillId="11" borderId="4" xfId="4" applyNumberFormat="1" applyFont="1" applyFill="1" applyBorder="1" applyAlignment="1">
      <alignment horizontal="left" vertical="top" wrapText="1"/>
    </xf>
    <xf numFmtId="166" fontId="13" fillId="11" borderId="4" xfId="0" applyNumberFormat="1" applyFont="1" applyFill="1" applyBorder="1" applyAlignment="1">
      <alignment horizontal="left" vertical="top" wrapText="1"/>
    </xf>
    <xf numFmtId="166" fontId="13" fillId="11" borderId="30" xfId="0" applyNumberFormat="1" applyFont="1" applyFill="1" applyBorder="1" applyAlignment="1">
      <alignment horizontal="left" vertical="top" wrapText="1"/>
    </xf>
    <xf numFmtId="0" fontId="32" fillId="11" borderId="3" xfId="0" applyFont="1" applyFill="1" applyBorder="1" applyAlignment="1">
      <alignment horizontal="left" vertical="top"/>
    </xf>
    <xf numFmtId="164" fontId="30" fillId="11" borderId="3" xfId="9" applyNumberFormat="1" applyFont="1" applyFill="1" applyBorder="1" applyAlignment="1">
      <alignment horizontal="left" vertical="top" wrapText="1"/>
    </xf>
    <xf numFmtId="164" fontId="30" fillId="11" borderId="31" xfId="9" applyNumberFormat="1" applyFont="1" applyFill="1" applyBorder="1" applyAlignment="1">
      <alignment horizontal="left" vertical="top" wrapText="1"/>
    </xf>
    <xf numFmtId="41" fontId="12" fillId="0" borderId="4" xfId="4" applyFont="1" applyFill="1" applyBorder="1" applyAlignment="1">
      <alignment horizontal="right" vertical="top" wrapText="1"/>
    </xf>
    <xf numFmtId="41" fontId="12" fillId="0" borderId="4" xfId="0" applyNumberFormat="1" applyFont="1" applyFill="1" applyBorder="1" applyAlignment="1">
      <alignment horizontal="right" vertical="top" wrapText="1"/>
    </xf>
    <xf numFmtId="9" fontId="12" fillId="0" borderId="4" xfId="5" applyFont="1" applyFill="1" applyBorder="1" applyAlignment="1">
      <alignment horizontal="right" vertical="top" wrapText="1"/>
    </xf>
    <xf numFmtId="165" fontId="13" fillId="0" borderId="4" xfId="6" applyNumberFormat="1" applyFont="1" applyFill="1" applyBorder="1" applyAlignment="1">
      <alignment horizontal="left" vertical="top" wrapText="1"/>
    </xf>
    <xf numFmtId="9" fontId="13" fillId="0" borderId="4" xfId="5" applyFont="1" applyFill="1" applyBorder="1" applyAlignment="1">
      <alignment vertical="top" wrapText="1"/>
    </xf>
    <xf numFmtId="165" fontId="13" fillId="0" borderId="4" xfId="0" applyNumberFormat="1" applyFont="1" applyFill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41" fontId="13" fillId="0" borderId="4" xfId="4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right" vertical="top"/>
    </xf>
    <xf numFmtId="41" fontId="13" fillId="0" borderId="4" xfId="0" applyNumberFormat="1" applyFont="1" applyFill="1" applyBorder="1" applyAlignment="1">
      <alignment horizontal="right" vertical="top" wrapText="1"/>
    </xf>
    <xf numFmtId="41" fontId="12" fillId="7" borderId="4" xfId="4" applyFont="1" applyFill="1" applyBorder="1" applyAlignment="1">
      <alignment horizontal="right" vertical="top" wrapText="1"/>
    </xf>
    <xf numFmtId="41" fontId="12" fillId="7" borderId="4" xfId="0" applyNumberFormat="1" applyFont="1" applyFill="1" applyBorder="1" applyAlignment="1">
      <alignment horizontal="right" vertical="top" wrapText="1"/>
    </xf>
    <xf numFmtId="41" fontId="13" fillId="0" borderId="4" xfId="0" applyNumberFormat="1" applyFont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166" fontId="31" fillId="11" borderId="4" xfId="0" applyNumberFormat="1" applyFont="1" applyFill="1" applyBorder="1" applyAlignment="1">
      <alignment vertical="top" wrapText="1"/>
    </xf>
    <xf numFmtId="166" fontId="31" fillId="11" borderId="41" xfId="0" applyNumberFormat="1" applyFont="1" applyFill="1" applyBorder="1" applyAlignment="1">
      <alignment horizontal="left" vertical="top"/>
    </xf>
    <xf numFmtId="167" fontId="12" fillId="18" borderId="30" xfId="4" applyNumberFormat="1" applyFont="1" applyFill="1" applyBorder="1" applyAlignment="1">
      <alignment vertical="top" wrapText="1"/>
    </xf>
    <xf numFmtId="167" fontId="12" fillId="18" borderId="33" xfId="4" applyNumberFormat="1" applyFont="1" applyFill="1" applyBorder="1" applyAlignment="1">
      <alignment vertical="top" wrapText="1"/>
    </xf>
    <xf numFmtId="166" fontId="12" fillId="0" borderId="13" xfId="0" applyNumberFormat="1" applyFont="1" applyFill="1" applyBorder="1" applyAlignment="1">
      <alignment horizontal="left" vertical="top" wrapText="1"/>
    </xf>
    <xf numFmtId="166" fontId="33" fillId="0" borderId="44" xfId="0" applyNumberFormat="1" applyFont="1" applyFill="1" applyBorder="1"/>
    <xf numFmtId="166" fontId="34" fillId="0" borderId="49" xfId="0" applyNumberFormat="1" applyFont="1" applyFill="1" applyBorder="1"/>
    <xf numFmtId="166" fontId="12" fillId="0" borderId="32" xfId="0" applyNumberFormat="1" applyFont="1" applyFill="1" applyBorder="1" applyAlignment="1">
      <alignment vertical="top" wrapText="1"/>
    </xf>
    <xf numFmtId="166" fontId="12" fillId="19" borderId="12" xfId="0" applyNumberFormat="1" applyFont="1" applyFill="1" applyBorder="1" applyAlignment="1">
      <alignment vertical="top" wrapText="1"/>
    </xf>
    <xf numFmtId="0" fontId="15" fillId="0" borderId="0" xfId="0" applyFont="1"/>
    <xf numFmtId="166" fontId="12" fillId="0" borderId="4" xfId="0" applyNumberFormat="1" applyFont="1" applyFill="1" applyBorder="1" applyAlignment="1">
      <alignment horizontal="left" vertical="top" wrapText="1"/>
    </xf>
    <xf numFmtId="166" fontId="12" fillId="19" borderId="4" xfId="0" applyNumberFormat="1" applyFont="1" applyFill="1" applyBorder="1" applyAlignment="1">
      <alignment horizontal="left" vertical="top" wrapText="1"/>
    </xf>
    <xf numFmtId="166" fontId="12" fillId="0" borderId="36" xfId="0" applyNumberFormat="1" applyFont="1" applyFill="1" applyBorder="1" applyAlignment="1">
      <alignment horizontal="left" vertical="top" wrapText="1"/>
    </xf>
    <xf numFmtId="166" fontId="12" fillId="19" borderId="12" xfId="4" applyNumberFormat="1" applyFont="1" applyFill="1" applyBorder="1" applyAlignment="1">
      <alignment vertical="top" wrapText="1"/>
    </xf>
    <xf numFmtId="4" fontId="1" fillId="0" borderId="0" xfId="4" applyNumberFormat="1" applyFont="1" applyAlignment="1">
      <alignment horizontal="left" vertical="top"/>
    </xf>
    <xf numFmtId="4" fontId="1" fillId="0" borderId="0" xfId="0" applyNumberFormat="1" applyFont="1" applyFill="1" applyAlignment="1">
      <alignment horizontal="left" vertical="top"/>
    </xf>
    <xf numFmtId="4" fontId="4" fillId="5" borderId="10" xfId="4" applyNumberFormat="1" applyFont="1" applyFill="1" applyBorder="1" applyAlignment="1">
      <alignment horizontal="center" vertical="top" wrapText="1"/>
    </xf>
    <xf numFmtId="4" fontId="4" fillId="5" borderId="12" xfId="4" applyNumberFormat="1" applyFont="1" applyFill="1" applyBorder="1" applyAlignment="1">
      <alignment horizontal="center" vertical="top" wrapText="1"/>
    </xf>
    <xf numFmtId="4" fontId="4" fillId="5" borderId="15" xfId="4" applyNumberFormat="1" applyFont="1" applyFill="1" applyBorder="1" applyAlignment="1">
      <alignment horizontal="center" vertical="top" wrapText="1"/>
    </xf>
    <xf numFmtId="4" fontId="4" fillId="7" borderId="15" xfId="1" applyNumberFormat="1" applyFont="1" applyFill="1" applyBorder="1" applyAlignment="1">
      <alignment horizontal="center" vertical="top" wrapText="1"/>
    </xf>
    <xf numFmtId="4" fontId="13" fillId="0" borderId="14" xfId="4" applyNumberFormat="1" applyFont="1" applyBorder="1" applyAlignment="1">
      <alignment horizontal="left" vertical="top" wrapText="1"/>
    </xf>
    <xf numFmtId="4" fontId="13" fillId="0" borderId="13" xfId="4" applyNumberFormat="1" applyFont="1" applyBorder="1" applyAlignment="1">
      <alignment horizontal="left" vertical="top" wrapText="1"/>
    </xf>
    <xf numFmtId="4" fontId="13" fillId="0" borderId="36" xfId="1" applyNumberFormat="1" applyFont="1" applyFill="1" applyBorder="1" applyAlignment="1">
      <alignment horizontal="left" vertical="top" wrapText="1"/>
    </xf>
    <xf numFmtId="4" fontId="4" fillId="4" borderId="3" xfId="4" applyNumberFormat="1" applyFont="1" applyFill="1" applyBorder="1" applyAlignment="1">
      <alignment horizontal="left" vertical="top"/>
    </xf>
    <xf numFmtId="4" fontId="4" fillId="4" borderId="30" xfId="4" applyNumberFormat="1" applyFont="1" applyFill="1" applyBorder="1" applyAlignment="1">
      <alignment horizontal="left" vertical="top"/>
    </xf>
    <xf numFmtId="4" fontId="8" fillId="0" borderId="3" xfId="4" applyNumberFormat="1" applyFont="1" applyFill="1" applyBorder="1" applyAlignment="1">
      <alignment horizontal="left" vertical="top" wrapText="1"/>
    </xf>
    <xf numFmtId="4" fontId="8" fillId="0" borderId="30" xfId="4" applyNumberFormat="1" applyFont="1" applyFill="1" applyBorder="1" applyAlignment="1">
      <alignment horizontal="left" vertical="top"/>
    </xf>
    <xf numFmtId="4" fontId="8" fillId="0" borderId="4" xfId="4" applyNumberFormat="1" applyFont="1" applyFill="1" applyBorder="1" applyAlignment="1">
      <alignment horizontal="left" vertical="top" wrapText="1"/>
    </xf>
    <xf numFmtId="4" fontId="4" fillId="0" borderId="30" xfId="4" applyNumberFormat="1" applyFont="1" applyFill="1" applyBorder="1" applyAlignment="1">
      <alignment horizontal="left" vertical="top"/>
    </xf>
    <xf numFmtId="4" fontId="8" fillId="0" borderId="3" xfId="4" applyNumberFormat="1" applyFont="1" applyFill="1" applyBorder="1" applyAlignment="1">
      <alignment horizontal="left" vertical="top"/>
    </xf>
    <xf numFmtId="4" fontId="16" fillId="0" borderId="4" xfId="4" applyNumberFormat="1" applyFont="1" applyFill="1" applyBorder="1" applyAlignment="1">
      <alignment horizontal="left" vertical="top" wrapText="1"/>
    </xf>
    <xf numFmtId="4" fontId="1" fillId="0" borderId="3" xfId="4" applyNumberFormat="1" applyFont="1" applyFill="1" applyBorder="1" applyAlignment="1">
      <alignment horizontal="left" vertical="top"/>
    </xf>
    <xf numFmtId="4" fontId="1" fillId="0" borderId="4" xfId="4" applyNumberFormat="1" applyFont="1" applyFill="1" applyBorder="1" applyAlignment="1">
      <alignment horizontal="left" vertical="top"/>
    </xf>
    <xf numFmtId="4" fontId="5" fillId="4" borderId="6" xfId="4" applyNumberFormat="1" applyFont="1" applyFill="1" applyBorder="1" applyAlignment="1">
      <alignment horizontal="left" vertical="top"/>
    </xf>
    <xf numFmtId="4" fontId="5" fillId="4" borderId="3" xfId="4" applyNumberFormat="1" applyFont="1" applyFill="1" applyBorder="1" applyAlignment="1">
      <alignment horizontal="left" vertical="top"/>
    </xf>
    <xf numFmtId="0" fontId="1" fillId="0" borderId="0" xfId="0" applyFont="1" applyFill="1"/>
    <xf numFmtId="0" fontId="22" fillId="0" borderId="0" xfId="0" applyFont="1"/>
    <xf numFmtId="0" fontId="11" fillId="0" borderId="4" xfId="0" applyFont="1" applyFill="1" applyBorder="1" applyAlignment="1">
      <alignment vertical="center"/>
    </xf>
    <xf numFmtId="0" fontId="12" fillId="10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3" fontId="12" fillId="7" borderId="4" xfId="0" applyNumberFormat="1" applyFont="1" applyFill="1" applyBorder="1" applyAlignment="1">
      <alignment vertical="top" wrapText="1"/>
    </xf>
    <xf numFmtId="0" fontId="11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Fill="1" applyBorder="1"/>
    <xf numFmtId="0" fontId="12" fillId="0" borderId="4" xfId="0" applyFont="1" applyBorder="1" applyAlignment="1">
      <alignment horizontal="right" vertical="top" wrapText="1"/>
    </xf>
    <xf numFmtId="3" fontId="12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right" vertical="top"/>
    </xf>
    <xf numFmtId="0" fontId="12" fillId="0" borderId="4" xfId="0" applyFont="1" applyFill="1" applyBorder="1" applyAlignment="1">
      <alignment horizontal="righ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0" fontId="22" fillId="7" borderId="4" xfId="0" applyFont="1" applyFill="1" applyBorder="1" applyAlignment="1">
      <alignment horizontal="left" vertical="top"/>
    </xf>
    <xf numFmtId="0" fontId="22" fillId="0" borderId="4" xfId="0" applyFont="1" applyFill="1" applyBorder="1" applyAlignment="1">
      <alignment horizontal="left" vertical="top"/>
    </xf>
    <xf numFmtId="3" fontId="12" fillId="0" borderId="4" xfId="0" applyNumberFormat="1" applyFont="1" applyFill="1" applyBorder="1" applyAlignment="1">
      <alignment horizontal="right" vertical="top" wrapText="1"/>
    </xf>
    <xf numFmtId="0" fontId="12" fillId="0" borderId="4" xfId="0" applyFont="1" applyBorder="1" applyAlignment="1">
      <alignment horizontal="left" vertical="top" wrapText="1"/>
    </xf>
    <xf numFmtId="0" fontId="13" fillId="10" borderId="4" xfId="0" applyFont="1" applyFill="1" applyBorder="1" applyAlignment="1">
      <alignment horizontal="right" vertical="top" wrapText="1"/>
    </xf>
    <xf numFmtId="0" fontId="12" fillId="10" borderId="4" xfId="0" applyFont="1" applyFill="1" applyBorder="1" applyAlignment="1">
      <alignment horizontal="left" vertical="top" wrapText="1"/>
    </xf>
    <xf numFmtId="41" fontId="13" fillId="10" borderId="4" xfId="4" applyFont="1" applyFill="1" applyBorder="1" applyAlignment="1">
      <alignment horizontal="right" vertical="top" wrapText="1"/>
    </xf>
    <xf numFmtId="41" fontId="12" fillId="10" borderId="4" xfId="4" applyFont="1" applyFill="1" applyBorder="1" applyAlignment="1">
      <alignment horizontal="right" vertical="top" wrapText="1"/>
    </xf>
    <xf numFmtId="41" fontId="12" fillId="10" borderId="4" xfId="0" applyNumberFormat="1" applyFont="1" applyFill="1" applyBorder="1" applyAlignment="1">
      <alignment horizontal="right" vertical="top" wrapText="1"/>
    </xf>
    <xf numFmtId="0" fontId="8" fillId="4" borderId="3" xfId="1" applyFont="1" applyFill="1" applyBorder="1" applyAlignment="1">
      <alignment horizontal="left" vertical="top"/>
    </xf>
    <xf numFmtId="0" fontId="8" fillId="4" borderId="4" xfId="1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4" fillId="4" borderId="30" xfId="0" applyFont="1" applyFill="1" applyBorder="1" applyAlignment="1">
      <alignment horizontal="left" vertical="top"/>
    </xf>
    <xf numFmtId="0" fontId="4" fillId="4" borderId="33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32" xfId="0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/>
    </xf>
    <xf numFmtId="164" fontId="8" fillId="0" borderId="32" xfId="4" applyNumberFormat="1" applyFont="1" applyFill="1" applyBorder="1" applyAlignment="1">
      <alignment horizontal="center" vertical="top" wrapText="1"/>
    </xf>
    <xf numFmtId="164" fontId="8" fillId="0" borderId="26" xfId="4" applyNumberFormat="1" applyFont="1" applyFill="1" applyBorder="1" applyAlignment="1">
      <alignment horizontal="center" vertical="top" wrapText="1"/>
    </xf>
    <xf numFmtId="164" fontId="8" fillId="0" borderId="13" xfId="4" applyNumberFormat="1" applyFont="1" applyFill="1" applyBorder="1" applyAlignment="1">
      <alignment horizontal="center" vertical="top" wrapText="1"/>
    </xf>
    <xf numFmtId="164" fontId="8" fillId="0" borderId="32" xfId="4" applyNumberFormat="1" applyFont="1" applyFill="1" applyBorder="1" applyAlignment="1">
      <alignment horizontal="left" vertical="top" wrapText="1"/>
    </xf>
    <xf numFmtId="164" fontId="8" fillId="0" borderId="13" xfId="4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30" xfId="0" applyFont="1" applyFill="1" applyBorder="1" applyAlignment="1">
      <alignment horizontal="left" vertical="top" wrapText="1"/>
    </xf>
    <xf numFmtId="0" fontId="5" fillId="4" borderId="33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4" fillId="0" borderId="30" xfId="1" applyFont="1" applyFill="1" applyBorder="1" applyAlignment="1">
      <alignment horizontal="left" vertical="top" wrapText="1"/>
    </xf>
    <xf numFmtId="0" fontId="4" fillId="0" borderId="42" xfId="1" applyFont="1" applyFill="1" applyBorder="1" applyAlignment="1">
      <alignment horizontal="left" vertical="top" wrapText="1"/>
    </xf>
    <xf numFmtId="0" fontId="4" fillId="5" borderId="28" xfId="1" applyFont="1" applyFill="1" applyBorder="1" applyAlignment="1">
      <alignment horizontal="center" vertical="top" wrapText="1"/>
    </xf>
    <xf numFmtId="0" fontId="4" fillId="5" borderId="27" xfId="1" applyFont="1" applyFill="1" applyBorder="1" applyAlignment="1">
      <alignment horizontal="center" vertical="top" wrapText="1"/>
    </xf>
    <xf numFmtId="0" fontId="4" fillId="5" borderId="25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>
      <alignment horizontal="center" vertical="top" wrapText="1"/>
    </xf>
    <xf numFmtId="0" fontId="4" fillId="5" borderId="23" xfId="1" applyFont="1" applyFill="1" applyBorder="1" applyAlignment="1">
      <alignment horizontal="center" vertical="top" wrapText="1"/>
    </xf>
    <xf numFmtId="0" fontId="4" fillId="5" borderId="21" xfId="1" applyFont="1" applyFill="1" applyBorder="1" applyAlignment="1">
      <alignment horizontal="center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5" borderId="17" xfId="1" applyFont="1" applyFill="1" applyBorder="1" applyAlignment="1">
      <alignment horizontal="center" vertical="top" wrapText="1"/>
    </xf>
    <xf numFmtId="0" fontId="4" fillId="5" borderId="9" xfId="1" applyFont="1" applyFill="1" applyBorder="1" applyAlignment="1">
      <alignment horizontal="center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45" xfId="1" applyFont="1" applyBorder="1" applyAlignment="1">
      <alignment horizontal="left" vertical="top" wrapText="1"/>
    </xf>
    <xf numFmtId="0" fontId="12" fillId="0" borderId="46" xfId="1" applyFont="1" applyBorder="1" applyAlignment="1">
      <alignment horizontal="left" vertical="top" wrapText="1"/>
    </xf>
    <xf numFmtId="0" fontId="4" fillId="5" borderId="24" xfId="1" applyFont="1" applyFill="1" applyBorder="1" applyAlignment="1">
      <alignment horizontal="center" vertical="top" wrapText="1"/>
    </xf>
    <xf numFmtId="0" fontId="4" fillId="5" borderId="22" xfId="1" applyFont="1" applyFill="1" applyBorder="1" applyAlignment="1">
      <alignment horizontal="center" vertical="top" wrapText="1"/>
    </xf>
    <xf numFmtId="4" fontId="4" fillId="5" borderId="19" xfId="2" applyNumberFormat="1" applyFont="1" applyFill="1" applyBorder="1" applyAlignment="1">
      <alignment horizontal="center" vertical="top" wrapText="1"/>
    </xf>
    <xf numFmtId="4" fontId="4" fillId="5" borderId="23" xfId="2" applyNumberFormat="1" applyFont="1" applyFill="1" applyBorder="1" applyAlignment="1">
      <alignment horizontal="center" vertical="top" wrapText="1"/>
    </xf>
    <xf numFmtId="4" fontId="4" fillId="5" borderId="21" xfId="2" applyNumberFormat="1" applyFont="1" applyFill="1" applyBorder="1" applyAlignment="1">
      <alignment horizontal="center" vertical="top" wrapText="1"/>
    </xf>
    <xf numFmtId="0" fontId="4" fillId="5" borderId="11" xfId="1" applyFont="1" applyFill="1" applyBorder="1" applyAlignment="1">
      <alignment horizontal="center" vertical="top" wrapText="1"/>
    </xf>
    <xf numFmtId="0" fontId="4" fillId="5" borderId="37" xfId="1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7" fillId="8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 vertical="center" wrapText="1"/>
    </xf>
    <xf numFmtId="1" fontId="12" fillId="17" borderId="33" xfId="0" applyNumberFormat="1" applyFont="1" applyFill="1" applyBorder="1" applyAlignment="1">
      <alignment horizontal="center" vertical="top" wrapText="1"/>
    </xf>
    <xf numFmtId="167" fontId="12" fillId="18" borderId="33" xfId="4" applyNumberFormat="1" applyFont="1" applyFill="1" applyBorder="1" applyAlignment="1">
      <alignment horizontal="center" vertical="top" wrapText="1"/>
    </xf>
    <xf numFmtId="1" fontId="12" fillId="15" borderId="30" xfId="4" applyNumberFormat="1" applyFont="1" applyFill="1" applyBorder="1" applyAlignment="1">
      <alignment horizontal="center" vertical="top" wrapText="1"/>
    </xf>
    <xf numFmtId="1" fontId="12" fillId="15" borderId="33" xfId="4" applyNumberFormat="1" applyFont="1" applyFill="1" applyBorder="1" applyAlignment="1">
      <alignment horizontal="center" vertical="top" wrapText="1"/>
    </xf>
    <xf numFmtId="1" fontId="12" fillId="16" borderId="33" xfId="0" applyNumberFormat="1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left" vertical="center"/>
    </xf>
    <xf numFmtId="0" fontId="17" fillId="14" borderId="3" xfId="0" applyFont="1" applyFill="1" applyBorder="1" applyAlignment="1">
      <alignment horizontal="left" vertical="center"/>
    </xf>
    <xf numFmtId="0" fontId="17" fillId="14" borderId="2" xfId="0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166" fontId="12" fillId="14" borderId="50" xfId="9" applyNumberFormat="1" applyFont="1" applyFill="1" applyBorder="1" applyAlignment="1">
      <alignment horizontal="center" vertical="center" wrapText="1"/>
    </xf>
    <xf numFmtId="166" fontId="12" fillId="14" borderId="13" xfId="9" applyNumberFormat="1" applyFont="1" applyFill="1" applyBorder="1" applyAlignment="1">
      <alignment horizontal="center" vertical="center" wrapText="1"/>
    </xf>
    <xf numFmtId="166" fontId="12" fillId="14" borderId="2" xfId="0" applyNumberFormat="1" applyFont="1" applyFill="1" applyBorder="1" applyAlignment="1">
      <alignment horizontal="center" vertical="center"/>
    </xf>
    <xf numFmtId="166" fontId="12" fillId="14" borderId="17" xfId="0" applyNumberFormat="1" applyFont="1" applyFill="1" applyBorder="1" applyAlignment="1">
      <alignment horizontal="center" vertical="center"/>
    </xf>
    <xf numFmtId="166" fontId="12" fillId="14" borderId="29" xfId="0" applyNumberFormat="1" applyFont="1" applyFill="1" applyBorder="1" applyAlignment="1">
      <alignment horizontal="center" vertical="center"/>
    </xf>
  </cellXfs>
  <cellStyles count="10">
    <cellStyle name="Comma [0]" xfId="4" builtinId="6"/>
    <cellStyle name="Comma [0] 2" xfId="9"/>
    <cellStyle name="Comma [0] 2 2" xfId="8"/>
    <cellStyle name="Comma [0] 3 3" xfId="6"/>
    <cellStyle name="Comma 2" xfId="2"/>
    <cellStyle name="Comma 2 2" xfId="7"/>
    <cellStyle name="Normal" xfId="0" builtinId="0"/>
    <cellStyle name="Normal 2" xfId="1"/>
    <cellStyle name="Normal 3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70" zoomScaleNormal="7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29" sqref="B29:I29"/>
    </sheetView>
  </sheetViews>
  <sheetFormatPr defaultColWidth="9.85546875" defaultRowHeight="15" x14ac:dyDescent="0.25"/>
  <cols>
    <col min="1" max="1" width="22.28515625" style="20" customWidth="1"/>
    <col min="2" max="2" width="17.28515625" style="20" customWidth="1"/>
    <col min="3" max="3" width="19.140625" style="20" customWidth="1"/>
    <col min="4" max="4" width="25" style="20" customWidth="1"/>
    <col min="5" max="5" width="23.42578125" style="20" customWidth="1"/>
    <col min="6" max="6" width="19.85546875" style="20" customWidth="1"/>
    <col min="7" max="7" width="25.42578125" style="20" customWidth="1"/>
    <col min="8" max="8" width="29.140625" style="20" customWidth="1"/>
    <col min="9" max="9" width="26.5703125" style="20" customWidth="1"/>
    <col min="10" max="10" width="22.5703125" style="20" customWidth="1"/>
    <col min="11" max="11" width="19.85546875" style="20" customWidth="1"/>
    <col min="12" max="253" width="9.85546875" style="20"/>
    <col min="254" max="254" width="22.28515625" style="20" customWidth="1"/>
    <col min="255" max="255" width="19.140625" style="20" customWidth="1"/>
    <col min="256" max="256" width="24.140625" style="20" customWidth="1"/>
    <col min="257" max="257" width="25" style="20" customWidth="1"/>
    <col min="258" max="258" width="27.7109375" style="20" customWidth="1"/>
    <col min="259" max="259" width="31.42578125" style="20" customWidth="1"/>
    <col min="260" max="260" width="0" style="20" hidden="1" customWidth="1"/>
    <col min="261" max="261" width="29.7109375" style="20" customWidth="1"/>
    <col min="262" max="262" width="27.42578125" style="20" customWidth="1"/>
    <col min="263" max="263" width="25.42578125" style="20" customWidth="1"/>
    <col min="264" max="264" width="29.140625" style="20" customWidth="1"/>
    <col min="265" max="509" width="9.85546875" style="20"/>
    <col min="510" max="510" width="22.28515625" style="20" customWidth="1"/>
    <col min="511" max="511" width="19.140625" style="20" customWidth="1"/>
    <col min="512" max="512" width="24.140625" style="20" customWidth="1"/>
    <col min="513" max="513" width="25" style="20" customWidth="1"/>
    <col min="514" max="514" width="27.7109375" style="20" customWidth="1"/>
    <col min="515" max="515" width="31.42578125" style="20" customWidth="1"/>
    <col min="516" max="516" width="0" style="20" hidden="1" customWidth="1"/>
    <col min="517" max="517" width="29.7109375" style="20" customWidth="1"/>
    <col min="518" max="518" width="27.42578125" style="20" customWidth="1"/>
    <col min="519" max="519" width="25.42578125" style="20" customWidth="1"/>
    <col min="520" max="520" width="29.140625" style="20" customWidth="1"/>
    <col min="521" max="765" width="9.85546875" style="20"/>
    <col min="766" max="766" width="22.28515625" style="20" customWidth="1"/>
    <col min="767" max="767" width="19.140625" style="20" customWidth="1"/>
    <col min="768" max="768" width="24.140625" style="20" customWidth="1"/>
    <col min="769" max="769" width="25" style="20" customWidth="1"/>
    <col min="770" max="770" width="27.7109375" style="20" customWidth="1"/>
    <col min="771" max="771" width="31.42578125" style="20" customWidth="1"/>
    <col min="772" max="772" width="0" style="20" hidden="1" customWidth="1"/>
    <col min="773" max="773" width="29.7109375" style="20" customWidth="1"/>
    <col min="774" max="774" width="27.42578125" style="20" customWidth="1"/>
    <col min="775" max="775" width="25.42578125" style="20" customWidth="1"/>
    <col min="776" max="776" width="29.140625" style="20" customWidth="1"/>
    <col min="777" max="1021" width="9.85546875" style="20"/>
    <col min="1022" max="1022" width="22.28515625" style="20" customWidth="1"/>
    <col min="1023" max="1023" width="19.140625" style="20" customWidth="1"/>
    <col min="1024" max="1024" width="24.140625" style="20" customWidth="1"/>
    <col min="1025" max="1025" width="25" style="20" customWidth="1"/>
    <col min="1026" max="1026" width="27.7109375" style="20" customWidth="1"/>
    <col min="1027" max="1027" width="31.42578125" style="20" customWidth="1"/>
    <col min="1028" max="1028" width="0" style="20" hidden="1" customWidth="1"/>
    <col min="1029" max="1029" width="29.7109375" style="20" customWidth="1"/>
    <col min="1030" max="1030" width="27.42578125" style="20" customWidth="1"/>
    <col min="1031" max="1031" width="25.42578125" style="20" customWidth="1"/>
    <col min="1032" max="1032" width="29.140625" style="20" customWidth="1"/>
    <col min="1033" max="1277" width="9.85546875" style="20"/>
    <col min="1278" max="1278" width="22.28515625" style="20" customWidth="1"/>
    <col min="1279" max="1279" width="19.140625" style="20" customWidth="1"/>
    <col min="1280" max="1280" width="24.140625" style="20" customWidth="1"/>
    <col min="1281" max="1281" width="25" style="20" customWidth="1"/>
    <col min="1282" max="1282" width="27.7109375" style="20" customWidth="1"/>
    <col min="1283" max="1283" width="31.42578125" style="20" customWidth="1"/>
    <col min="1284" max="1284" width="0" style="20" hidden="1" customWidth="1"/>
    <col min="1285" max="1285" width="29.7109375" style="20" customWidth="1"/>
    <col min="1286" max="1286" width="27.42578125" style="20" customWidth="1"/>
    <col min="1287" max="1287" width="25.42578125" style="20" customWidth="1"/>
    <col min="1288" max="1288" width="29.140625" style="20" customWidth="1"/>
    <col min="1289" max="1533" width="9.85546875" style="20"/>
    <col min="1534" max="1534" width="22.28515625" style="20" customWidth="1"/>
    <col min="1535" max="1535" width="19.140625" style="20" customWidth="1"/>
    <col min="1536" max="1536" width="24.140625" style="20" customWidth="1"/>
    <col min="1537" max="1537" width="25" style="20" customWidth="1"/>
    <col min="1538" max="1538" width="27.7109375" style="20" customWidth="1"/>
    <col min="1539" max="1539" width="31.42578125" style="20" customWidth="1"/>
    <col min="1540" max="1540" width="0" style="20" hidden="1" customWidth="1"/>
    <col min="1541" max="1541" width="29.7109375" style="20" customWidth="1"/>
    <col min="1542" max="1542" width="27.42578125" style="20" customWidth="1"/>
    <col min="1543" max="1543" width="25.42578125" style="20" customWidth="1"/>
    <col min="1544" max="1544" width="29.140625" style="20" customWidth="1"/>
    <col min="1545" max="1789" width="9.85546875" style="20"/>
    <col min="1790" max="1790" width="22.28515625" style="20" customWidth="1"/>
    <col min="1791" max="1791" width="19.140625" style="20" customWidth="1"/>
    <col min="1792" max="1792" width="24.140625" style="20" customWidth="1"/>
    <col min="1793" max="1793" width="25" style="20" customWidth="1"/>
    <col min="1794" max="1794" width="27.7109375" style="20" customWidth="1"/>
    <col min="1795" max="1795" width="31.42578125" style="20" customWidth="1"/>
    <col min="1796" max="1796" width="0" style="20" hidden="1" customWidth="1"/>
    <col min="1797" max="1797" width="29.7109375" style="20" customWidth="1"/>
    <col min="1798" max="1798" width="27.42578125" style="20" customWidth="1"/>
    <col min="1799" max="1799" width="25.42578125" style="20" customWidth="1"/>
    <col min="1800" max="1800" width="29.140625" style="20" customWidth="1"/>
    <col min="1801" max="2045" width="9.85546875" style="20"/>
    <col min="2046" max="2046" width="22.28515625" style="20" customWidth="1"/>
    <col min="2047" max="2047" width="19.140625" style="20" customWidth="1"/>
    <col min="2048" max="2048" width="24.140625" style="20" customWidth="1"/>
    <col min="2049" max="2049" width="25" style="20" customWidth="1"/>
    <col min="2050" max="2050" width="27.7109375" style="20" customWidth="1"/>
    <col min="2051" max="2051" width="31.42578125" style="20" customWidth="1"/>
    <col min="2052" max="2052" width="0" style="20" hidden="1" customWidth="1"/>
    <col min="2053" max="2053" width="29.7109375" style="20" customWidth="1"/>
    <col min="2054" max="2054" width="27.42578125" style="20" customWidth="1"/>
    <col min="2055" max="2055" width="25.42578125" style="20" customWidth="1"/>
    <col min="2056" max="2056" width="29.140625" style="20" customWidth="1"/>
    <col min="2057" max="2301" width="9.85546875" style="20"/>
    <col min="2302" max="2302" width="22.28515625" style="20" customWidth="1"/>
    <col min="2303" max="2303" width="19.140625" style="20" customWidth="1"/>
    <col min="2304" max="2304" width="24.140625" style="20" customWidth="1"/>
    <col min="2305" max="2305" width="25" style="20" customWidth="1"/>
    <col min="2306" max="2306" width="27.7109375" style="20" customWidth="1"/>
    <col min="2307" max="2307" width="31.42578125" style="20" customWidth="1"/>
    <col min="2308" max="2308" width="0" style="20" hidden="1" customWidth="1"/>
    <col min="2309" max="2309" width="29.7109375" style="20" customWidth="1"/>
    <col min="2310" max="2310" width="27.42578125" style="20" customWidth="1"/>
    <col min="2311" max="2311" width="25.42578125" style="20" customWidth="1"/>
    <col min="2312" max="2312" width="29.140625" style="20" customWidth="1"/>
    <col min="2313" max="2557" width="9.85546875" style="20"/>
    <col min="2558" max="2558" width="22.28515625" style="20" customWidth="1"/>
    <col min="2559" max="2559" width="19.140625" style="20" customWidth="1"/>
    <col min="2560" max="2560" width="24.140625" style="20" customWidth="1"/>
    <col min="2561" max="2561" width="25" style="20" customWidth="1"/>
    <col min="2562" max="2562" width="27.7109375" style="20" customWidth="1"/>
    <col min="2563" max="2563" width="31.42578125" style="20" customWidth="1"/>
    <col min="2564" max="2564" width="0" style="20" hidden="1" customWidth="1"/>
    <col min="2565" max="2565" width="29.7109375" style="20" customWidth="1"/>
    <col min="2566" max="2566" width="27.42578125" style="20" customWidth="1"/>
    <col min="2567" max="2567" width="25.42578125" style="20" customWidth="1"/>
    <col min="2568" max="2568" width="29.140625" style="20" customWidth="1"/>
    <col min="2569" max="2813" width="9.85546875" style="20"/>
    <col min="2814" max="2814" width="22.28515625" style="20" customWidth="1"/>
    <col min="2815" max="2815" width="19.140625" style="20" customWidth="1"/>
    <col min="2816" max="2816" width="24.140625" style="20" customWidth="1"/>
    <col min="2817" max="2817" width="25" style="20" customWidth="1"/>
    <col min="2818" max="2818" width="27.7109375" style="20" customWidth="1"/>
    <col min="2819" max="2819" width="31.42578125" style="20" customWidth="1"/>
    <col min="2820" max="2820" width="0" style="20" hidden="1" customWidth="1"/>
    <col min="2821" max="2821" width="29.7109375" style="20" customWidth="1"/>
    <col min="2822" max="2822" width="27.42578125" style="20" customWidth="1"/>
    <col min="2823" max="2823" width="25.42578125" style="20" customWidth="1"/>
    <col min="2824" max="2824" width="29.140625" style="20" customWidth="1"/>
    <col min="2825" max="3069" width="9.85546875" style="20"/>
    <col min="3070" max="3070" width="22.28515625" style="20" customWidth="1"/>
    <col min="3071" max="3071" width="19.140625" style="20" customWidth="1"/>
    <col min="3072" max="3072" width="24.140625" style="20" customWidth="1"/>
    <col min="3073" max="3073" width="25" style="20" customWidth="1"/>
    <col min="3074" max="3074" width="27.7109375" style="20" customWidth="1"/>
    <col min="3075" max="3075" width="31.42578125" style="20" customWidth="1"/>
    <col min="3076" max="3076" width="0" style="20" hidden="1" customWidth="1"/>
    <col min="3077" max="3077" width="29.7109375" style="20" customWidth="1"/>
    <col min="3078" max="3078" width="27.42578125" style="20" customWidth="1"/>
    <col min="3079" max="3079" width="25.42578125" style="20" customWidth="1"/>
    <col min="3080" max="3080" width="29.140625" style="20" customWidth="1"/>
    <col min="3081" max="3325" width="9.85546875" style="20"/>
    <col min="3326" max="3326" width="22.28515625" style="20" customWidth="1"/>
    <col min="3327" max="3327" width="19.140625" style="20" customWidth="1"/>
    <col min="3328" max="3328" width="24.140625" style="20" customWidth="1"/>
    <col min="3329" max="3329" width="25" style="20" customWidth="1"/>
    <col min="3330" max="3330" width="27.7109375" style="20" customWidth="1"/>
    <col min="3331" max="3331" width="31.42578125" style="20" customWidth="1"/>
    <col min="3332" max="3332" width="0" style="20" hidden="1" customWidth="1"/>
    <col min="3333" max="3333" width="29.7109375" style="20" customWidth="1"/>
    <col min="3334" max="3334" width="27.42578125" style="20" customWidth="1"/>
    <col min="3335" max="3335" width="25.42578125" style="20" customWidth="1"/>
    <col min="3336" max="3336" width="29.140625" style="20" customWidth="1"/>
    <col min="3337" max="3581" width="9.85546875" style="20"/>
    <col min="3582" max="3582" width="22.28515625" style="20" customWidth="1"/>
    <col min="3583" max="3583" width="19.140625" style="20" customWidth="1"/>
    <col min="3584" max="3584" width="24.140625" style="20" customWidth="1"/>
    <col min="3585" max="3585" width="25" style="20" customWidth="1"/>
    <col min="3586" max="3586" width="27.7109375" style="20" customWidth="1"/>
    <col min="3587" max="3587" width="31.42578125" style="20" customWidth="1"/>
    <col min="3588" max="3588" width="0" style="20" hidden="1" customWidth="1"/>
    <col min="3589" max="3589" width="29.7109375" style="20" customWidth="1"/>
    <col min="3590" max="3590" width="27.42578125" style="20" customWidth="1"/>
    <col min="3591" max="3591" width="25.42578125" style="20" customWidth="1"/>
    <col min="3592" max="3592" width="29.140625" style="20" customWidth="1"/>
    <col min="3593" max="3837" width="9.85546875" style="20"/>
    <col min="3838" max="3838" width="22.28515625" style="20" customWidth="1"/>
    <col min="3839" max="3839" width="19.140625" style="20" customWidth="1"/>
    <col min="3840" max="3840" width="24.140625" style="20" customWidth="1"/>
    <col min="3841" max="3841" width="25" style="20" customWidth="1"/>
    <col min="3842" max="3842" width="27.7109375" style="20" customWidth="1"/>
    <col min="3843" max="3843" width="31.42578125" style="20" customWidth="1"/>
    <col min="3844" max="3844" width="0" style="20" hidden="1" customWidth="1"/>
    <col min="3845" max="3845" width="29.7109375" style="20" customWidth="1"/>
    <col min="3846" max="3846" width="27.42578125" style="20" customWidth="1"/>
    <col min="3847" max="3847" width="25.42578125" style="20" customWidth="1"/>
    <col min="3848" max="3848" width="29.140625" style="20" customWidth="1"/>
    <col min="3849" max="4093" width="9.85546875" style="20"/>
    <col min="4094" max="4094" width="22.28515625" style="20" customWidth="1"/>
    <col min="4095" max="4095" width="19.140625" style="20" customWidth="1"/>
    <col min="4096" max="4096" width="24.140625" style="20" customWidth="1"/>
    <col min="4097" max="4097" width="25" style="20" customWidth="1"/>
    <col min="4098" max="4098" width="27.7109375" style="20" customWidth="1"/>
    <col min="4099" max="4099" width="31.42578125" style="20" customWidth="1"/>
    <col min="4100" max="4100" width="0" style="20" hidden="1" customWidth="1"/>
    <col min="4101" max="4101" width="29.7109375" style="20" customWidth="1"/>
    <col min="4102" max="4102" width="27.42578125" style="20" customWidth="1"/>
    <col min="4103" max="4103" width="25.42578125" style="20" customWidth="1"/>
    <col min="4104" max="4104" width="29.140625" style="20" customWidth="1"/>
    <col min="4105" max="4349" width="9.85546875" style="20"/>
    <col min="4350" max="4350" width="22.28515625" style="20" customWidth="1"/>
    <col min="4351" max="4351" width="19.140625" style="20" customWidth="1"/>
    <col min="4352" max="4352" width="24.140625" style="20" customWidth="1"/>
    <col min="4353" max="4353" width="25" style="20" customWidth="1"/>
    <col min="4354" max="4354" width="27.7109375" style="20" customWidth="1"/>
    <col min="4355" max="4355" width="31.42578125" style="20" customWidth="1"/>
    <col min="4356" max="4356" width="0" style="20" hidden="1" customWidth="1"/>
    <col min="4357" max="4357" width="29.7109375" style="20" customWidth="1"/>
    <col min="4358" max="4358" width="27.42578125" style="20" customWidth="1"/>
    <col min="4359" max="4359" width="25.42578125" style="20" customWidth="1"/>
    <col min="4360" max="4360" width="29.140625" style="20" customWidth="1"/>
    <col min="4361" max="4605" width="9.85546875" style="20"/>
    <col min="4606" max="4606" width="22.28515625" style="20" customWidth="1"/>
    <col min="4607" max="4607" width="19.140625" style="20" customWidth="1"/>
    <col min="4608" max="4608" width="24.140625" style="20" customWidth="1"/>
    <col min="4609" max="4609" width="25" style="20" customWidth="1"/>
    <col min="4610" max="4610" width="27.7109375" style="20" customWidth="1"/>
    <col min="4611" max="4611" width="31.42578125" style="20" customWidth="1"/>
    <col min="4612" max="4612" width="0" style="20" hidden="1" customWidth="1"/>
    <col min="4613" max="4613" width="29.7109375" style="20" customWidth="1"/>
    <col min="4614" max="4614" width="27.42578125" style="20" customWidth="1"/>
    <col min="4615" max="4615" width="25.42578125" style="20" customWidth="1"/>
    <col min="4616" max="4616" width="29.140625" style="20" customWidth="1"/>
    <col min="4617" max="4861" width="9.85546875" style="20"/>
    <col min="4862" max="4862" width="22.28515625" style="20" customWidth="1"/>
    <col min="4863" max="4863" width="19.140625" style="20" customWidth="1"/>
    <col min="4864" max="4864" width="24.140625" style="20" customWidth="1"/>
    <col min="4865" max="4865" width="25" style="20" customWidth="1"/>
    <col min="4866" max="4866" width="27.7109375" style="20" customWidth="1"/>
    <col min="4867" max="4867" width="31.42578125" style="20" customWidth="1"/>
    <col min="4868" max="4868" width="0" style="20" hidden="1" customWidth="1"/>
    <col min="4869" max="4869" width="29.7109375" style="20" customWidth="1"/>
    <col min="4870" max="4870" width="27.42578125" style="20" customWidth="1"/>
    <col min="4871" max="4871" width="25.42578125" style="20" customWidth="1"/>
    <col min="4872" max="4872" width="29.140625" style="20" customWidth="1"/>
    <col min="4873" max="5117" width="9.85546875" style="20"/>
    <col min="5118" max="5118" width="22.28515625" style="20" customWidth="1"/>
    <col min="5119" max="5119" width="19.140625" style="20" customWidth="1"/>
    <col min="5120" max="5120" width="24.140625" style="20" customWidth="1"/>
    <col min="5121" max="5121" width="25" style="20" customWidth="1"/>
    <col min="5122" max="5122" width="27.7109375" style="20" customWidth="1"/>
    <col min="5123" max="5123" width="31.42578125" style="20" customWidth="1"/>
    <col min="5124" max="5124" width="0" style="20" hidden="1" customWidth="1"/>
    <col min="5125" max="5125" width="29.7109375" style="20" customWidth="1"/>
    <col min="5126" max="5126" width="27.42578125" style="20" customWidth="1"/>
    <col min="5127" max="5127" width="25.42578125" style="20" customWidth="1"/>
    <col min="5128" max="5128" width="29.140625" style="20" customWidth="1"/>
    <col min="5129" max="5373" width="9.85546875" style="20"/>
    <col min="5374" max="5374" width="22.28515625" style="20" customWidth="1"/>
    <col min="5375" max="5375" width="19.140625" style="20" customWidth="1"/>
    <col min="5376" max="5376" width="24.140625" style="20" customWidth="1"/>
    <col min="5377" max="5377" width="25" style="20" customWidth="1"/>
    <col min="5378" max="5378" width="27.7109375" style="20" customWidth="1"/>
    <col min="5379" max="5379" width="31.42578125" style="20" customWidth="1"/>
    <col min="5380" max="5380" width="0" style="20" hidden="1" customWidth="1"/>
    <col min="5381" max="5381" width="29.7109375" style="20" customWidth="1"/>
    <col min="5382" max="5382" width="27.42578125" style="20" customWidth="1"/>
    <col min="5383" max="5383" width="25.42578125" style="20" customWidth="1"/>
    <col min="5384" max="5384" width="29.140625" style="20" customWidth="1"/>
    <col min="5385" max="5629" width="9.85546875" style="20"/>
    <col min="5630" max="5630" width="22.28515625" style="20" customWidth="1"/>
    <col min="5631" max="5631" width="19.140625" style="20" customWidth="1"/>
    <col min="5632" max="5632" width="24.140625" style="20" customWidth="1"/>
    <col min="5633" max="5633" width="25" style="20" customWidth="1"/>
    <col min="5634" max="5634" width="27.7109375" style="20" customWidth="1"/>
    <col min="5635" max="5635" width="31.42578125" style="20" customWidth="1"/>
    <col min="5636" max="5636" width="0" style="20" hidden="1" customWidth="1"/>
    <col min="5637" max="5637" width="29.7109375" style="20" customWidth="1"/>
    <col min="5638" max="5638" width="27.42578125" style="20" customWidth="1"/>
    <col min="5639" max="5639" width="25.42578125" style="20" customWidth="1"/>
    <col min="5640" max="5640" width="29.140625" style="20" customWidth="1"/>
    <col min="5641" max="5885" width="9.85546875" style="20"/>
    <col min="5886" max="5886" width="22.28515625" style="20" customWidth="1"/>
    <col min="5887" max="5887" width="19.140625" style="20" customWidth="1"/>
    <col min="5888" max="5888" width="24.140625" style="20" customWidth="1"/>
    <col min="5889" max="5889" width="25" style="20" customWidth="1"/>
    <col min="5890" max="5890" width="27.7109375" style="20" customWidth="1"/>
    <col min="5891" max="5891" width="31.42578125" style="20" customWidth="1"/>
    <col min="5892" max="5892" width="0" style="20" hidden="1" customWidth="1"/>
    <col min="5893" max="5893" width="29.7109375" style="20" customWidth="1"/>
    <col min="5894" max="5894" width="27.42578125" style="20" customWidth="1"/>
    <col min="5895" max="5895" width="25.42578125" style="20" customWidth="1"/>
    <col min="5896" max="5896" width="29.140625" style="20" customWidth="1"/>
    <col min="5897" max="6141" width="9.85546875" style="20"/>
    <col min="6142" max="6142" width="22.28515625" style="20" customWidth="1"/>
    <col min="6143" max="6143" width="19.140625" style="20" customWidth="1"/>
    <col min="6144" max="6144" width="24.140625" style="20" customWidth="1"/>
    <col min="6145" max="6145" width="25" style="20" customWidth="1"/>
    <col min="6146" max="6146" width="27.7109375" style="20" customWidth="1"/>
    <col min="6147" max="6147" width="31.42578125" style="20" customWidth="1"/>
    <col min="6148" max="6148" width="0" style="20" hidden="1" customWidth="1"/>
    <col min="6149" max="6149" width="29.7109375" style="20" customWidth="1"/>
    <col min="6150" max="6150" width="27.42578125" style="20" customWidth="1"/>
    <col min="6151" max="6151" width="25.42578125" style="20" customWidth="1"/>
    <col min="6152" max="6152" width="29.140625" style="20" customWidth="1"/>
    <col min="6153" max="6397" width="9.85546875" style="20"/>
    <col min="6398" max="6398" width="22.28515625" style="20" customWidth="1"/>
    <col min="6399" max="6399" width="19.140625" style="20" customWidth="1"/>
    <col min="6400" max="6400" width="24.140625" style="20" customWidth="1"/>
    <col min="6401" max="6401" width="25" style="20" customWidth="1"/>
    <col min="6402" max="6402" width="27.7109375" style="20" customWidth="1"/>
    <col min="6403" max="6403" width="31.42578125" style="20" customWidth="1"/>
    <col min="6404" max="6404" width="0" style="20" hidden="1" customWidth="1"/>
    <col min="6405" max="6405" width="29.7109375" style="20" customWidth="1"/>
    <col min="6406" max="6406" width="27.42578125" style="20" customWidth="1"/>
    <col min="6407" max="6407" width="25.42578125" style="20" customWidth="1"/>
    <col min="6408" max="6408" width="29.140625" style="20" customWidth="1"/>
    <col min="6409" max="6653" width="9.85546875" style="20"/>
    <col min="6654" max="6654" width="22.28515625" style="20" customWidth="1"/>
    <col min="6655" max="6655" width="19.140625" style="20" customWidth="1"/>
    <col min="6656" max="6656" width="24.140625" style="20" customWidth="1"/>
    <col min="6657" max="6657" width="25" style="20" customWidth="1"/>
    <col min="6658" max="6658" width="27.7109375" style="20" customWidth="1"/>
    <col min="6659" max="6659" width="31.42578125" style="20" customWidth="1"/>
    <col min="6660" max="6660" width="0" style="20" hidden="1" customWidth="1"/>
    <col min="6661" max="6661" width="29.7109375" style="20" customWidth="1"/>
    <col min="6662" max="6662" width="27.42578125" style="20" customWidth="1"/>
    <col min="6663" max="6663" width="25.42578125" style="20" customWidth="1"/>
    <col min="6664" max="6664" width="29.140625" style="20" customWidth="1"/>
    <col min="6665" max="6909" width="9.85546875" style="20"/>
    <col min="6910" max="6910" width="22.28515625" style="20" customWidth="1"/>
    <col min="6911" max="6911" width="19.140625" style="20" customWidth="1"/>
    <col min="6912" max="6912" width="24.140625" style="20" customWidth="1"/>
    <col min="6913" max="6913" width="25" style="20" customWidth="1"/>
    <col min="6914" max="6914" width="27.7109375" style="20" customWidth="1"/>
    <col min="6915" max="6915" width="31.42578125" style="20" customWidth="1"/>
    <col min="6916" max="6916" width="0" style="20" hidden="1" customWidth="1"/>
    <col min="6917" max="6917" width="29.7109375" style="20" customWidth="1"/>
    <col min="6918" max="6918" width="27.42578125" style="20" customWidth="1"/>
    <col min="6919" max="6919" width="25.42578125" style="20" customWidth="1"/>
    <col min="6920" max="6920" width="29.140625" style="20" customWidth="1"/>
    <col min="6921" max="7165" width="9.85546875" style="20"/>
    <col min="7166" max="7166" width="22.28515625" style="20" customWidth="1"/>
    <col min="7167" max="7167" width="19.140625" style="20" customWidth="1"/>
    <col min="7168" max="7168" width="24.140625" style="20" customWidth="1"/>
    <col min="7169" max="7169" width="25" style="20" customWidth="1"/>
    <col min="7170" max="7170" width="27.7109375" style="20" customWidth="1"/>
    <col min="7171" max="7171" width="31.42578125" style="20" customWidth="1"/>
    <col min="7172" max="7172" width="0" style="20" hidden="1" customWidth="1"/>
    <col min="7173" max="7173" width="29.7109375" style="20" customWidth="1"/>
    <col min="7174" max="7174" width="27.42578125" style="20" customWidth="1"/>
    <col min="7175" max="7175" width="25.42578125" style="20" customWidth="1"/>
    <col min="7176" max="7176" width="29.140625" style="20" customWidth="1"/>
    <col min="7177" max="7421" width="9.85546875" style="20"/>
    <col min="7422" max="7422" width="22.28515625" style="20" customWidth="1"/>
    <col min="7423" max="7423" width="19.140625" style="20" customWidth="1"/>
    <col min="7424" max="7424" width="24.140625" style="20" customWidth="1"/>
    <col min="7425" max="7425" width="25" style="20" customWidth="1"/>
    <col min="7426" max="7426" width="27.7109375" style="20" customWidth="1"/>
    <col min="7427" max="7427" width="31.42578125" style="20" customWidth="1"/>
    <col min="7428" max="7428" width="0" style="20" hidden="1" customWidth="1"/>
    <col min="7429" max="7429" width="29.7109375" style="20" customWidth="1"/>
    <col min="7430" max="7430" width="27.42578125" style="20" customWidth="1"/>
    <col min="7431" max="7431" width="25.42578125" style="20" customWidth="1"/>
    <col min="7432" max="7432" width="29.140625" style="20" customWidth="1"/>
    <col min="7433" max="7677" width="9.85546875" style="20"/>
    <col min="7678" max="7678" width="22.28515625" style="20" customWidth="1"/>
    <col min="7679" max="7679" width="19.140625" style="20" customWidth="1"/>
    <col min="7680" max="7680" width="24.140625" style="20" customWidth="1"/>
    <col min="7681" max="7681" width="25" style="20" customWidth="1"/>
    <col min="7682" max="7682" width="27.7109375" style="20" customWidth="1"/>
    <col min="7683" max="7683" width="31.42578125" style="20" customWidth="1"/>
    <col min="7684" max="7684" width="0" style="20" hidden="1" customWidth="1"/>
    <col min="7685" max="7685" width="29.7109375" style="20" customWidth="1"/>
    <col min="7686" max="7686" width="27.42578125" style="20" customWidth="1"/>
    <col min="7687" max="7687" width="25.42578125" style="20" customWidth="1"/>
    <col min="7688" max="7688" width="29.140625" style="20" customWidth="1"/>
    <col min="7689" max="7933" width="9.85546875" style="20"/>
    <col min="7934" max="7934" width="22.28515625" style="20" customWidth="1"/>
    <col min="7935" max="7935" width="19.140625" style="20" customWidth="1"/>
    <col min="7936" max="7936" width="24.140625" style="20" customWidth="1"/>
    <col min="7937" max="7937" width="25" style="20" customWidth="1"/>
    <col min="7938" max="7938" width="27.7109375" style="20" customWidth="1"/>
    <col min="7939" max="7939" width="31.42578125" style="20" customWidth="1"/>
    <col min="7940" max="7940" width="0" style="20" hidden="1" customWidth="1"/>
    <col min="7941" max="7941" width="29.7109375" style="20" customWidth="1"/>
    <col min="7942" max="7942" width="27.42578125" style="20" customWidth="1"/>
    <col min="7943" max="7943" width="25.42578125" style="20" customWidth="1"/>
    <col min="7944" max="7944" width="29.140625" style="20" customWidth="1"/>
    <col min="7945" max="8189" width="9.85546875" style="20"/>
    <col min="8190" max="8190" width="22.28515625" style="20" customWidth="1"/>
    <col min="8191" max="8191" width="19.140625" style="20" customWidth="1"/>
    <col min="8192" max="8192" width="24.140625" style="20" customWidth="1"/>
    <col min="8193" max="8193" width="25" style="20" customWidth="1"/>
    <col min="8194" max="8194" width="27.7109375" style="20" customWidth="1"/>
    <col min="8195" max="8195" width="31.42578125" style="20" customWidth="1"/>
    <col min="8196" max="8196" width="0" style="20" hidden="1" customWidth="1"/>
    <col min="8197" max="8197" width="29.7109375" style="20" customWidth="1"/>
    <col min="8198" max="8198" width="27.42578125" style="20" customWidth="1"/>
    <col min="8199" max="8199" width="25.42578125" style="20" customWidth="1"/>
    <col min="8200" max="8200" width="29.140625" style="20" customWidth="1"/>
    <col min="8201" max="8445" width="9.85546875" style="20"/>
    <col min="8446" max="8446" width="22.28515625" style="20" customWidth="1"/>
    <col min="8447" max="8447" width="19.140625" style="20" customWidth="1"/>
    <col min="8448" max="8448" width="24.140625" style="20" customWidth="1"/>
    <col min="8449" max="8449" width="25" style="20" customWidth="1"/>
    <col min="8450" max="8450" width="27.7109375" style="20" customWidth="1"/>
    <col min="8451" max="8451" width="31.42578125" style="20" customWidth="1"/>
    <col min="8452" max="8452" width="0" style="20" hidden="1" customWidth="1"/>
    <col min="8453" max="8453" width="29.7109375" style="20" customWidth="1"/>
    <col min="8454" max="8454" width="27.42578125" style="20" customWidth="1"/>
    <col min="8455" max="8455" width="25.42578125" style="20" customWidth="1"/>
    <col min="8456" max="8456" width="29.140625" style="20" customWidth="1"/>
    <col min="8457" max="8701" width="9.85546875" style="20"/>
    <col min="8702" max="8702" width="22.28515625" style="20" customWidth="1"/>
    <col min="8703" max="8703" width="19.140625" style="20" customWidth="1"/>
    <col min="8704" max="8704" width="24.140625" style="20" customWidth="1"/>
    <col min="8705" max="8705" width="25" style="20" customWidth="1"/>
    <col min="8706" max="8706" width="27.7109375" style="20" customWidth="1"/>
    <col min="8707" max="8707" width="31.42578125" style="20" customWidth="1"/>
    <col min="8708" max="8708" width="0" style="20" hidden="1" customWidth="1"/>
    <col min="8709" max="8709" width="29.7109375" style="20" customWidth="1"/>
    <col min="8710" max="8710" width="27.42578125" style="20" customWidth="1"/>
    <col min="8711" max="8711" width="25.42578125" style="20" customWidth="1"/>
    <col min="8712" max="8712" width="29.140625" style="20" customWidth="1"/>
    <col min="8713" max="8957" width="9.85546875" style="20"/>
    <col min="8958" max="8958" width="22.28515625" style="20" customWidth="1"/>
    <col min="8959" max="8959" width="19.140625" style="20" customWidth="1"/>
    <col min="8960" max="8960" width="24.140625" style="20" customWidth="1"/>
    <col min="8961" max="8961" width="25" style="20" customWidth="1"/>
    <col min="8962" max="8962" width="27.7109375" style="20" customWidth="1"/>
    <col min="8963" max="8963" width="31.42578125" style="20" customWidth="1"/>
    <col min="8964" max="8964" width="0" style="20" hidden="1" customWidth="1"/>
    <col min="8965" max="8965" width="29.7109375" style="20" customWidth="1"/>
    <col min="8966" max="8966" width="27.42578125" style="20" customWidth="1"/>
    <col min="8967" max="8967" width="25.42578125" style="20" customWidth="1"/>
    <col min="8968" max="8968" width="29.140625" style="20" customWidth="1"/>
    <col min="8969" max="9213" width="9.85546875" style="20"/>
    <col min="9214" max="9214" width="22.28515625" style="20" customWidth="1"/>
    <col min="9215" max="9215" width="19.140625" style="20" customWidth="1"/>
    <col min="9216" max="9216" width="24.140625" style="20" customWidth="1"/>
    <col min="9217" max="9217" width="25" style="20" customWidth="1"/>
    <col min="9218" max="9218" width="27.7109375" style="20" customWidth="1"/>
    <col min="9219" max="9219" width="31.42578125" style="20" customWidth="1"/>
    <col min="9220" max="9220" width="0" style="20" hidden="1" customWidth="1"/>
    <col min="9221" max="9221" width="29.7109375" style="20" customWidth="1"/>
    <col min="9222" max="9222" width="27.42578125" style="20" customWidth="1"/>
    <col min="9223" max="9223" width="25.42578125" style="20" customWidth="1"/>
    <col min="9224" max="9224" width="29.140625" style="20" customWidth="1"/>
    <col min="9225" max="9469" width="9.85546875" style="20"/>
    <col min="9470" max="9470" width="22.28515625" style="20" customWidth="1"/>
    <col min="9471" max="9471" width="19.140625" style="20" customWidth="1"/>
    <col min="9472" max="9472" width="24.140625" style="20" customWidth="1"/>
    <col min="9473" max="9473" width="25" style="20" customWidth="1"/>
    <col min="9474" max="9474" width="27.7109375" style="20" customWidth="1"/>
    <col min="9475" max="9475" width="31.42578125" style="20" customWidth="1"/>
    <col min="9476" max="9476" width="0" style="20" hidden="1" customWidth="1"/>
    <col min="9477" max="9477" width="29.7109375" style="20" customWidth="1"/>
    <col min="9478" max="9478" width="27.42578125" style="20" customWidth="1"/>
    <col min="9479" max="9479" width="25.42578125" style="20" customWidth="1"/>
    <col min="9480" max="9480" width="29.140625" style="20" customWidth="1"/>
    <col min="9481" max="9725" width="9.85546875" style="20"/>
    <col min="9726" max="9726" width="22.28515625" style="20" customWidth="1"/>
    <col min="9727" max="9727" width="19.140625" style="20" customWidth="1"/>
    <col min="9728" max="9728" width="24.140625" style="20" customWidth="1"/>
    <col min="9729" max="9729" width="25" style="20" customWidth="1"/>
    <col min="9730" max="9730" width="27.7109375" style="20" customWidth="1"/>
    <col min="9731" max="9731" width="31.42578125" style="20" customWidth="1"/>
    <col min="9732" max="9732" width="0" style="20" hidden="1" customWidth="1"/>
    <col min="9733" max="9733" width="29.7109375" style="20" customWidth="1"/>
    <col min="9734" max="9734" width="27.42578125" style="20" customWidth="1"/>
    <col min="9735" max="9735" width="25.42578125" style="20" customWidth="1"/>
    <col min="9736" max="9736" width="29.140625" style="20" customWidth="1"/>
    <col min="9737" max="9981" width="9.85546875" style="20"/>
    <col min="9982" max="9982" width="22.28515625" style="20" customWidth="1"/>
    <col min="9983" max="9983" width="19.140625" style="20" customWidth="1"/>
    <col min="9984" max="9984" width="24.140625" style="20" customWidth="1"/>
    <col min="9985" max="9985" width="25" style="20" customWidth="1"/>
    <col min="9986" max="9986" width="27.7109375" style="20" customWidth="1"/>
    <col min="9987" max="9987" width="31.42578125" style="20" customWidth="1"/>
    <col min="9988" max="9988" width="0" style="20" hidden="1" customWidth="1"/>
    <col min="9989" max="9989" width="29.7109375" style="20" customWidth="1"/>
    <col min="9990" max="9990" width="27.42578125" style="20" customWidth="1"/>
    <col min="9991" max="9991" width="25.42578125" style="20" customWidth="1"/>
    <col min="9992" max="9992" width="29.140625" style="20" customWidth="1"/>
    <col min="9993" max="10237" width="9.85546875" style="20"/>
    <col min="10238" max="10238" width="22.28515625" style="20" customWidth="1"/>
    <col min="10239" max="10239" width="19.140625" style="20" customWidth="1"/>
    <col min="10240" max="10240" width="24.140625" style="20" customWidth="1"/>
    <col min="10241" max="10241" width="25" style="20" customWidth="1"/>
    <col min="10242" max="10242" width="27.7109375" style="20" customWidth="1"/>
    <col min="10243" max="10243" width="31.42578125" style="20" customWidth="1"/>
    <col min="10244" max="10244" width="0" style="20" hidden="1" customWidth="1"/>
    <col min="10245" max="10245" width="29.7109375" style="20" customWidth="1"/>
    <col min="10246" max="10246" width="27.42578125" style="20" customWidth="1"/>
    <col min="10247" max="10247" width="25.42578125" style="20" customWidth="1"/>
    <col min="10248" max="10248" width="29.140625" style="20" customWidth="1"/>
    <col min="10249" max="10493" width="9.85546875" style="20"/>
    <col min="10494" max="10494" width="22.28515625" style="20" customWidth="1"/>
    <col min="10495" max="10495" width="19.140625" style="20" customWidth="1"/>
    <col min="10496" max="10496" width="24.140625" style="20" customWidth="1"/>
    <col min="10497" max="10497" width="25" style="20" customWidth="1"/>
    <col min="10498" max="10498" width="27.7109375" style="20" customWidth="1"/>
    <col min="10499" max="10499" width="31.42578125" style="20" customWidth="1"/>
    <col min="10500" max="10500" width="0" style="20" hidden="1" customWidth="1"/>
    <col min="10501" max="10501" width="29.7109375" style="20" customWidth="1"/>
    <col min="10502" max="10502" width="27.42578125" style="20" customWidth="1"/>
    <col min="10503" max="10503" width="25.42578125" style="20" customWidth="1"/>
    <col min="10504" max="10504" width="29.140625" style="20" customWidth="1"/>
    <col min="10505" max="10749" width="9.85546875" style="20"/>
    <col min="10750" max="10750" width="22.28515625" style="20" customWidth="1"/>
    <col min="10751" max="10751" width="19.140625" style="20" customWidth="1"/>
    <col min="10752" max="10752" width="24.140625" style="20" customWidth="1"/>
    <col min="10753" max="10753" width="25" style="20" customWidth="1"/>
    <col min="10754" max="10754" width="27.7109375" style="20" customWidth="1"/>
    <col min="10755" max="10755" width="31.42578125" style="20" customWidth="1"/>
    <col min="10756" max="10756" width="0" style="20" hidden="1" customWidth="1"/>
    <col min="10757" max="10757" width="29.7109375" style="20" customWidth="1"/>
    <col min="10758" max="10758" width="27.42578125" style="20" customWidth="1"/>
    <col min="10759" max="10759" width="25.42578125" style="20" customWidth="1"/>
    <col min="10760" max="10760" width="29.140625" style="20" customWidth="1"/>
    <col min="10761" max="11005" width="9.85546875" style="20"/>
    <col min="11006" max="11006" width="22.28515625" style="20" customWidth="1"/>
    <col min="11007" max="11007" width="19.140625" style="20" customWidth="1"/>
    <col min="11008" max="11008" width="24.140625" style="20" customWidth="1"/>
    <col min="11009" max="11009" width="25" style="20" customWidth="1"/>
    <col min="11010" max="11010" width="27.7109375" style="20" customWidth="1"/>
    <col min="11011" max="11011" width="31.42578125" style="20" customWidth="1"/>
    <col min="11012" max="11012" width="0" style="20" hidden="1" customWidth="1"/>
    <col min="11013" max="11013" width="29.7109375" style="20" customWidth="1"/>
    <col min="11014" max="11014" width="27.42578125" style="20" customWidth="1"/>
    <col min="11015" max="11015" width="25.42578125" style="20" customWidth="1"/>
    <col min="11016" max="11016" width="29.140625" style="20" customWidth="1"/>
    <col min="11017" max="11261" width="9.85546875" style="20"/>
    <col min="11262" max="11262" width="22.28515625" style="20" customWidth="1"/>
    <col min="11263" max="11263" width="19.140625" style="20" customWidth="1"/>
    <col min="11264" max="11264" width="24.140625" style="20" customWidth="1"/>
    <col min="11265" max="11265" width="25" style="20" customWidth="1"/>
    <col min="11266" max="11266" width="27.7109375" style="20" customWidth="1"/>
    <col min="11267" max="11267" width="31.42578125" style="20" customWidth="1"/>
    <col min="11268" max="11268" width="0" style="20" hidden="1" customWidth="1"/>
    <col min="11269" max="11269" width="29.7109375" style="20" customWidth="1"/>
    <col min="11270" max="11270" width="27.42578125" style="20" customWidth="1"/>
    <col min="11271" max="11271" width="25.42578125" style="20" customWidth="1"/>
    <col min="11272" max="11272" width="29.140625" style="20" customWidth="1"/>
    <col min="11273" max="11517" width="9.85546875" style="20"/>
    <col min="11518" max="11518" width="22.28515625" style="20" customWidth="1"/>
    <col min="11519" max="11519" width="19.140625" style="20" customWidth="1"/>
    <col min="11520" max="11520" width="24.140625" style="20" customWidth="1"/>
    <col min="11521" max="11521" width="25" style="20" customWidth="1"/>
    <col min="11522" max="11522" width="27.7109375" style="20" customWidth="1"/>
    <col min="11523" max="11523" width="31.42578125" style="20" customWidth="1"/>
    <col min="11524" max="11524" width="0" style="20" hidden="1" customWidth="1"/>
    <col min="11525" max="11525" width="29.7109375" style="20" customWidth="1"/>
    <col min="11526" max="11526" width="27.42578125" style="20" customWidth="1"/>
    <col min="11527" max="11527" width="25.42578125" style="20" customWidth="1"/>
    <col min="11528" max="11528" width="29.140625" style="20" customWidth="1"/>
    <col min="11529" max="11773" width="9.85546875" style="20"/>
    <col min="11774" max="11774" width="22.28515625" style="20" customWidth="1"/>
    <col min="11775" max="11775" width="19.140625" style="20" customWidth="1"/>
    <col min="11776" max="11776" width="24.140625" style="20" customWidth="1"/>
    <col min="11777" max="11777" width="25" style="20" customWidth="1"/>
    <col min="11778" max="11778" width="27.7109375" style="20" customWidth="1"/>
    <col min="11779" max="11779" width="31.42578125" style="20" customWidth="1"/>
    <col min="11780" max="11780" width="0" style="20" hidden="1" customWidth="1"/>
    <col min="11781" max="11781" width="29.7109375" style="20" customWidth="1"/>
    <col min="11782" max="11782" width="27.42578125" style="20" customWidth="1"/>
    <col min="11783" max="11783" width="25.42578125" style="20" customWidth="1"/>
    <col min="11784" max="11784" width="29.140625" style="20" customWidth="1"/>
    <col min="11785" max="12029" width="9.85546875" style="20"/>
    <col min="12030" max="12030" width="22.28515625" style="20" customWidth="1"/>
    <col min="12031" max="12031" width="19.140625" style="20" customWidth="1"/>
    <col min="12032" max="12032" width="24.140625" style="20" customWidth="1"/>
    <col min="12033" max="12033" width="25" style="20" customWidth="1"/>
    <col min="12034" max="12034" width="27.7109375" style="20" customWidth="1"/>
    <col min="12035" max="12035" width="31.42578125" style="20" customWidth="1"/>
    <col min="12036" max="12036" width="0" style="20" hidden="1" customWidth="1"/>
    <col min="12037" max="12037" width="29.7109375" style="20" customWidth="1"/>
    <col min="12038" max="12038" width="27.42578125" style="20" customWidth="1"/>
    <col min="12039" max="12039" width="25.42578125" style="20" customWidth="1"/>
    <col min="12040" max="12040" width="29.140625" style="20" customWidth="1"/>
    <col min="12041" max="12285" width="9.85546875" style="20"/>
    <col min="12286" max="12286" width="22.28515625" style="20" customWidth="1"/>
    <col min="12287" max="12287" width="19.140625" style="20" customWidth="1"/>
    <col min="12288" max="12288" width="24.140625" style="20" customWidth="1"/>
    <col min="12289" max="12289" width="25" style="20" customWidth="1"/>
    <col min="12290" max="12290" width="27.7109375" style="20" customWidth="1"/>
    <col min="12291" max="12291" width="31.42578125" style="20" customWidth="1"/>
    <col min="12292" max="12292" width="0" style="20" hidden="1" customWidth="1"/>
    <col min="12293" max="12293" width="29.7109375" style="20" customWidth="1"/>
    <col min="12294" max="12294" width="27.42578125" style="20" customWidth="1"/>
    <col min="12295" max="12295" width="25.42578125" style="20" customWidth="1"/>
    <col min="12296" max="12296" width="29.140625" style="20" customWidth="1"/>
    <col min="12297" max="12541" width="9.85546875" style="20"/>
    <col min="12542" max="12542" width="22.28515625" style="20" customWidth="1"/>
    <col min="12543" max="12543" width="19.140625" style="20" customWidth="1"/>
    <col min="12544" max="12544" width="24.140625" style="20" customWidth="1"/>
    <col min="12545" max="12545" width="25" style="20" customWidth="1"/>
    <col min="12546" max="12546" width="27.7109375" style="20" customWidth="1"/>
    <col min="12547" max="12547" width="31.42578125" style="20" customWidth="1"/>
    <col min="12548" max="12548" width="0" style="20" hidden="1" customWidth="1"/>
    <col min="12549" max="12549" width="29.7109375" style="20" customWidth="1"/>
    <col min="12550" max="12550" width="27.42578125" style="20" customWidth="1"/>
    <col min="12551" max="12551" width="25.42578125" style="20" customWidth="1"/>
    <col min="12552" max="12552" width="29.140625" style="20" customWidth="1"/>
    <col min="12553" max="12797" width="9.85546875" style="20"/>
    <col min="12798" max="12798" width="22.28515625" style="20" customWidth="1"/>
    <col min="12799" max="12799" width="19.140625" style="20" customWidth="1"/>
    <col min="12800" max="12800" width="24.140625" style="20" customWidth="1"/>
    <col min="12801" max="12801" width="25" style="20" customWidth="1"/>
    <col min="12802" max="12802" width="27.7109375" style="20" customWidth="1"/>
    <col min="12803" max="12803" width="31.42578125" style="20" customWidth="1"/>
    <col min="12804" max="12804" width="0" style="20" hidden="1" customWidth="1"/>
    <col min="12805" max="12805" width="29.7109375" style="20" customWidth="1"/>
    <col min="12806" max="12806" width="27.42578125" style="20" customWidth="1"/>
    <col min="12807" max="12807" width="25.42578125" style="20" customWidth="1"/>
    <col min="12808" max="12808" width="29.140625" style="20" customWidth="1"/>
    <col min="12809" max="13053" width="9.85546875" style="20"/>
    <col min="13054" max="13054" width="22.28515625" style="20" customWidth="1"/>
    <col min="13055" max="13055" width="19.140625" style="20" customWidth="1"/>
    <col min="13056" max="13056" width="24.140625" style="20" customWidth="1"/>
    <col min="13057" max="13057" width="25" style="20" customWidth="1"/>
    <col min="13058" max="13058" width="27.7109375" style="20" customWidth="1"/>
    <col min="13059" max="13059" width="31.42578125" style="20" customWidth="1"/>
    <col min="13060" max="13060" width="0" style="20" hidden="1" customWidth="1"/>
    <col min="13061" max="13061" width="29.7109375" style="20" customWidth="1"/>
    <col min="13062" max="13062" width="27.42578125" style="20" customWidth="1"/>
    <col min="13063" max="13063" width="25.42578125" style="20" customWidth="1"/>
    <col min="13064" max="13064" width="29.140625" style="20" customWidth="1"/>
    <col min="13065" max="13309" width="9.85546875" style="20"/>
    <col min="13310" max="13310" width="22.28515625" style="20" customWidth="1"/>
    <col min="13311" max="13311" width="19.140625" style="20" customWidth="1"/>
    <col min="13312" max="13312" width="24.140625" style="20" customWidth="1"/>
    <col min="13313" max="13313" width="25" style="20" customWidth="1"/>
    <col min="13314" max="13314" width="27.7109375" style="20" customWidth="1"/>
    <col min="13315" max="13315" width="31.42578125" style="20" customWidth="1"/>
    <col min="13316" max="13316" width="0" style="20" hidden="1" customWidth="1"/>
    <col min="13317" max="13317" width="29.7109375" style="20" customWidth="1"/>
    <col min="13318" max="13318" width="27.42578125" style="20" customWidth="1"/>
    <col min="13319" max="13319" width="25.42578125" style="20" customWidth="1"/>
    <col min="13320" max="13320" width="29.140625" style="20" customWidth="1"/>
    <col min="13321" max="13565" width="9.85546875" style="20"/>
    <col min="13566" max="13566" width="22.28515625" style="20" customWidth="1"/>
    <col min="13567" max="13567" width="19.140625" style="20" customWidth="1"/>
    <col min="13568" max="13568" width="24.140625" style="20" customWidth="1"/>
    <col min="13569" max="13569" width="25" style="20" customWidth="1"/>
    <col min="13570" max="13570" width="27.7109375" style="20" customWidth="1"/>
    <col min="13571" max="13571" width="31.42578125" style="20" customWidth="1"/>
    <col min="13572" max="13572" width="0" style="20" hidden="1" customWidth="1"/>
    <col min="13573" max="13573" width="29.7109375" style="20" customWidth="1"/>
    <col min="13574" max="13574" width="27.42578125" style="20" customWidth="1"/>
    <col min="13575" max="13575" width="25.42578125" style="20" customWidth="1"/>
    <col min="13576" max="13576" width="29.140625" style="20" customWidth="1"/>
    <col min="13577" max="13821" width="9.85546875" style="20"/>
    <col min="13822" max="13822" width="22.28515625" style="20" customWidth="1"/>
    <col min="13823" max="13823" width="19.140625" style="20" customWidth="1"/>
    <col min="13824" max="13824" width="24.140625" style="20" customWidth="1"/>
    <col min="13825" max="13825" width="25" style="20" customWidth="1"/>
    <col min="13826" max="13826" width="27.7109375" style="20" customWidth="1"/>
    <col min="13827" max="13827" width="31.42578125" style="20" customWidth="1"/>
    <col min="13828" max="13828" width="0" style="20" hidden="1" customWidth="1"/>
    <col min="13829" max="13829" width="29.7109375" style="20" customWidth="1"/>
    <col min="13830" max="13830" width="27.42578125" style="20" customWidth="1"/>
    <col min="13831" max="13831" width="25.42578125" style="20" customWidth="1"/>
    <col min="13832" max="13832" width="29.140625" style="20" customWidth="1"/>
    <col min="13833" max="14077" width="9.85546875" style="20"/>
    <col min="14078" max="14078" width="22.28515625" style="20" customWidth="1"/>
    <col min="14079" max="14079" width="19.140625" style="20" customWidth="1"/>
    <col min="14080" max="14080" width="24.140625" style="20" customWidth="1"/>
    <col min="14081" max="14081" width="25" style="20" customWidth="1"/>
    <col min="14082" max="14082" width="27.7109375" style="20" customWidth="1"/>
    <col min="14083" max="14083" width="31.42578125" style="20" customWidth="1"/>
    <col min="14084" max="14084" width="0" style="20" hidden="1" customWidth="1"/>
    <col min="14085" max="14085" width="29.7109375" style="20" customWidth="1"/>
    <col min="14086" max="14086" width="27.42578125" style="20" customWidth="1"/>
    <col min="14087" max="14087" width="25.42578125" style="20" customWidth="1"/>
    <col min="14088" max="14088" width="29.140625" style="20" customWidth="1"/>
    <col min="14089" max="14333" width="9.85546875" style="20"/>
    <col min="14334" max="14334" width="22.28515625" style="20" customWidth="1"/>
    <col min="14335" max="14335" width="19.140625" style="20" customWidth="1"/>
    <col min="14336" max="14336" width="24.140625" style="20" customWidth="1"/>
    <col min="14337" max="14337" width="25" style="20" customWidth="1"/>
    <col min="14338" max="14338" width="27.7109375" style="20" customWidth="1"/>
    <col min="14339" max="14339" width="31.42578125" style="20" customWidth="1"/>
    <col min="14340" max="14340" width="0" style="20" hidden="1" customWidth="1"/>
    <col min="14341" max="14341" width="29.7109375" style="20" customWidth="1"/>
    <col min="14342" max="14342" width="27.42578125" style="20" customWidth="1"/>
    <col min="14343" max="14343" width="25.42578125" style="20" customWidth="1"/>
    <col min="14344" max="14344" width="29.140625" style="20" customWidth="1"/>
    <col min="14345" max="14589" width="9.85546875" style="20"/>
    <col min="14590" max="14590" width="22.28515625" style="20" customWidth="1"/>
    <col min="14591" max="14591" width="19.140625" style="20" customWidth="1"/>
    <col min="14592" max="14592" width="24.140625" style="20" customWidth="1"/>
    <col min="14593" max="14593" width="25" style="20" customWidth="1"/>
    <col min="14594" max="14594" width="27.7109375" style="20" customWidth="1"/>
    <col min="14595" max="14595" width="31.42578125" style="20" customWidth="1"/>
    <col min="14596" max="14596" width="0" style="20" hidden="1" customWidth="1"/>
    <col min="14597" max="14597" width="29.7109375" style="20" customWidth="1"/>
    <col min="14598" max="14598" width="27.42578125" style="20" customWidth="1"/>
    <col min="14599" max="14599" width="25.42578125" style="20" customWidth="1"/>
    <col min="14600" max="14600" width="29.140625" style="20" customWidth="1"/>
    <col min="14601" max="14845" width="9.85546875" style="20"/>
    <col min="14846" max="14846" width="22.28515625" style="20" customWidth="1"/>
    <col min="14847" max="14847" width="19.140625" style="20" customWidth="1"/>
    <col min="14848" max="14848" width="24.140625" style="20" customWidth="1"/>
    <col min="14849" max="14849" width="25" style="20" customWidth="1"/>
    <col min="14850" max="14850" width="27.7109375" style="20" customWidth="1"/>
    <col min="14851" max="14851" width="31.42578125" style="20" customWidth="1"/>
    <col min="14852" max="14852" width="0" style="20" hidden="1" customWidth="1"/>
    <col min="14853" max="14853" width="29.7109375" style="20" customWidth="1"/>
    <col min="14854" max="14854" width="27.42578125" style="20" customWidth="1"/>
    <col min="14855" max="14855" width="25.42578125" style="20" customWidth="1"/>
    <col min="14856" max="14856" width="29.140625" style="20" customWidth="1"/>
    <col min="14857" max="15101" width="9.85546875" style="20"/>
    <col min="15102" max="15102" width="22.28515625" style="20" customWidth="1"/>
    <col min="15103" max="15103" width="19.140625" style="20" customWidth="1"/>
    <col min="15104" max="15104" width="24.140625" style="20" customWidth="1"/>
    <col min="15105" max="15105" width="25" style="20" customWidth="1"/>
    <col min="15106" max="15106" width="27.7109375" style="20" customWidth="1"/>
    <col min="15107" max="15107" width="31.42578125" style="20" customWidth="1"/>
    <col min="15108" max="15108" width="0" style="20" hidden="1" customWidth="1"/>
    <col min="15109" max="15109" width="29.7109375" style="20" customWidth="1"/>
    <col min="15110" max="15110" width="27.42578125" style="20" customWidth="1"/>
    <col min="15111" max="15111" width="25.42578125" style="20" customWidth="1"/>
    <col min="15112" max="15112" width="29.140625" style="20" customWidth="1"/>
    <col min="15113" max="15357" width="9.85546875" style="20"/>
    <col min="15358" max="15358" width="22.28515625" style="20" customWidth="1"/>
    <col min="15359" max="15359" width="19.140625" style="20" customWidth="1"/>
    <col min="15360" max="15360" width="24.140625" style="20" customWidth="1"/>
    <col min="15361" max="15361" width="25" style="20" customWidth="1"/>
    <col min="15362" max="15362" width="27.7109375" style="20" customWidth="1"/>
    <col min="15363" max="15363" width="31.42578125" style="20" customWidth="1"/>
    <col min="15364" max="15364" width="0" style="20" hidden="1" customWidth="1"/>
    <col min="15365" max="15365" width="29.7109375" style="20" customWidth="1"/>
    <col min="15366" max="15366" width="27.42578125" style="20" customWidth="1"/>
    <col min="15367" max="15367" width="25.42578125" style="20" customWidth="1"/>
    <col min="15368" max="15368" width="29.140625" style="20" customWidth="1"/>
    <col min="15369" max="15613" width="9.85546875" style="20"/>
    <col min="15614" max="15614" width="22.28515625" style="20" customWidth="1"/>
    <col min="15615" max="15615" width="19.140625" style="20" customWidth="1"/>
    <col min="15616" max="15616" width="24.140625" style="20" customWidth="1"/>
    <col min="15617" max="15617" width="25" style="20" customWidth="1"/>
    <col min="15618" max="15618" width="27.7109375" style="20" customWidth="1"/>
    <col min="15619" max="15619" width="31.42578125" style="20" customWidth="1"/>
    <col min="15620" max="15620" width="0" style="20" hidden="1" customWidth="1"/>
    <col min="15621" max="15621" width="29.7109375" style="20" customWidth="1"/>
    <col min="15622" max="15622" width="27.42578125" style="20" customWidth="1"/>
    <col min="15623" max="15623" width="25.42578125" style="20" customWidth="1"/>
    <col min="15624" max="15624" width="29.140625" style="20" customWidth="1"/>
    <col min="15625" max="15869" width="9.85546875" style="20"/>
    <col min="15870" max="15870" width="22.28515625" style="20" customWidth="1"/>
    <col min="15871" max="15871" width="19.140625" style="20" customWidth="1"/>
    <col min="15872" max="15872" width="24.140625" style="20" customWidth="1"/>
    <col min="15873" max="15873" width="25" style="20" customWidth="1"/>
    <col min="15874" max="15874" width="27.7109375" style="20" customWidth="1"/>
    <col min="15875" max="15875" width="31.42578125" style="20" customWidth="1"/>
    <col min="15876" max="15876" width="0" style="20" hidden="1" customWidth="1"/>
    <col min="15877" max="15877" width="29.7109375" style="20" customWidth="1"/>
    <col min="15878" max="15878" width="27.42578125" style="20" customWidth="1"/>
    <col min="15879" max="15879" width="25.42578125" style="20" customWidth="1"/>
    <col min="15880" max="15880" width="29.140625" style="20" customWidth="1"/>
    <col min="15881" max="16125" width="9.85546875" style="20"/>
    <col min="16126" max="16126" width="22.28515625" style="20" customWidth="1"/>
    <col min="16127" max="16127" width="19.140625" style="20" customWidth="1"/>
    <col min="16128" max="16128" width="24.140625" style="20" customWidth="1"/>
    <col min="16129" max="16129" width="25" style="20" customWidth="1"/>
    <col min="16130" max="16130" width="27.7109375" style="20" customWidth="1"/>
    <col min="16131" max="16131" width="31.42578125" style="20" customWidth="1"/>
    <col min="16132" max="16132" width="0" style="20" hidden="1" customWidth="1"/>
    <col min="16133" max="16133" width="29.7109375" style="20" customWidth="1"/>
    <col min="16134" max="16134" width="27.42578125" style="20" customWidth="1"/>
    <col min="16135" max="16135" width="25.42578125" style="20" customWidth="1"/>
    <col min="16136" max="16136" width="29.140625" style="20" customWidth="1"/>
    <col min="16137" max="16384" width="9.85546875" style="20"/>
  </cols>
  <sheetData>
    <row r="1" spans="1:10" ht="16.5" thickBot="1" x14ac:dyDescent="0.3">
      <c r="A1" s="146" t="s">
        <v>85</v>
      </c>
      <c r="C1" s="21"/>
      <c r="D1" s="21"/>
      <c r="E1" s="21"/>
      <c r="F1" s="21"/>
    </row>
    <row r="2" spans="1:10" ht="29.25" x14ac:dyDescent="0.25">
      <c r="A2" s="22" t="s">
        <v>14</v>
      </c>
      <c r="B2" s="23" t="s">
        <v>15</v>
      </c>
      <c r="C2" s="24" t="s">
        <v>16</v>
      </c>
      <c r="D2" s="24" t="s">
        <v>7</v>
      </c>
      <c r="E2" s="24" t="s">
        <v>17</v>
      </c>
      <c r="F2" s="24" t="s">
        <v>18</v>
      </c>
      <c r="G2" s="24" t="s">
        <v>21</v>
      </c>
      <c r="H2" s="24" t="s">
        <v>22</v>
      </c>
      <c r="I2" s="24" t="s">
        <v>19</v>
      </c>
      <c r="J2" s="25" t="s">
        <v>23</v>
      </c>
    </row>
    <row r="3" spans="1:10" x14ac:dyDescent="0.25">
      <c r="A3" s="26">
        <v>1</v>
      </c>
      <c r="B3" s="27">
        <v>2</v>
      </c>
      <c r="C3" s="26">
        <v>3</v>
      </c>
      <c r="D3" s="27">
        <v>4</v>
      </c>
      <c r="E3" s="26">
        <v>5</v>
      </c>
      <c r="F3" s="27">
        <v>6</v>
      </c>
      <c r="G3" s="26">
        <v>7</v>
      </c>
      <c r="H3" s="27">
        <v>8</v>
      </c>
      <c r="I3" s="26">
        <v>9</v>
      </c>
      <c r="J3" s="27">
        <v>10</v>
      </c>
    </row>
    <row r="4" spans="1:10" s="28" customFormat="1" ht="15" customHeight="1" x14ac:dyDescent="0.25">
      <c r="A4" s="312" t="s">
        <v>174</v>
      </c>
      <c r="B4" s="315" t="s">
        <v>164</v>
      </c>
      <c r="C4" s="315"/>
      <c r="D4" s="315"/>
      <c r="E4" s="315"/>
      <c r="F4" s="315"/>
      <c r="G4" s="315"/>
      <c r="H4" s="315"/>
      <c r="I4" s="315"/>
      <c r="J4" s="315"/>
    </row>
    <row r="5" spans="1:10" s="28" customFormat="1" ht="83.25" customHeight="1" x14ac:dyDescent="0.25">
      <c r="A5" s="313"/>
      <c r="B5" s="311" t="s">
        <v>156</v>
      </c>
      <c r="C5" s="311" t="s">
        <v>155</v>
      </c>
      <c r="D5" s="311" t="s">
        <v>165</v>
      </c>
      <c r="E5" s="311" t="s">
        <v>166</v>
      </c>
      <c r="F5" s="316">
        <f>Workplan!AR6</f>
        <v>166500000</v>
      </c>
      <c r="G5" s="127" t="s">
        <v>157</v>
      </c>
      <c r="H5" s="29" t="s">
        <v>256</v>
      </c>
      <c r="I5" s="29" t="s">
        <v>158</v>
      </c>
      <c r="J5" s="29" t="s">
        <v>159</v>
      </c>
    </row>
    <row r="6" spans="1:10" s="28" customFormat="1" ht="90" x14ac:dyDescent="0.25">
      <c r="A6" s="313"/>
      <c r="B6" s="311"/>
      <c r="C6" s="311"/>
      <c r="D6" s="311"/>
      <c r="E6" s="311"/>
      <c r="F6" s="317"/>
      <c r="G6" s="127" t="s">
        <v>161</v>
      </c>
      <c r="H6" s="29" t="s">
        <v>167</v>
      </c>
      <c r="I6" s="29" t="s">
        <v>169</v>
      </c>
      <c r="J6" s="29" t="s">
        <v>63</v>
      </c>
    </row>
    <row r="7" spans="1:10" s="28" customFormat="1" ht="69.75" customHeight="1" x14ac:dyDescent="0.25">
      <c r="A7" s="313"/>
      <c r="B7" s="311"/>
      <c r="C7" s="311"/>
      <c r="D7" s="311"/>
      <c r="E7" s="311"/>
      <c r="F7" s="317"/>
      <c r="G7" s="127" t="s">
        <v>160</v>
      </c>
      <c r="H7" s="29" t="s">
        <v>68</v>
      </c>
      <c r="I7" s="29" t="s">
        <v>33</v>
      </c>
      <c r="J7" s="29" t="s">
        <v>162</v>
      </c>
    </row>
    <row r="8" spans="1:10" s="28" customFormat="1" ht="90" x14ac:dyDescent="0.25">
      <c r="A8" s="313"/>
      <c r="B8" s="311"/>
      <c r="C8" s="311"/>
      <c r="D8" s="311"/>
      <c r="E8" s="311"/>
      <c r="F8" s="318"/>
      <c r="G8" s="127" t="s">
        <v>163</v>
      </c>
      <c r="H8" s="29" t="s">
        <v>168</v>
      </c>
      <c r="I8" s="29" t="s">
        <v>170</v>
      </c>
      <c r="J8" s="29" t="s">
        <v>64</v>
      </c>
    </row>
    <row r="9" spans="1:10" s="28" customFormat="1" ht="89.25" customHeight="1" x14ac:dyDescent="0.25">
      <c r="A9" s="313"/>
      <c r="B9" s="311"/>
      <c r="C9" s="311"/>
      <c r="D9" s="126" t="s">
        <v>171</v>
      </c>
      <c r="E9" s="30" t="s">
        <v>172</v>
      </c>
      <c r="F9" s="31">
        <f>Workplan!AR11</f>
        <v>209750000</v>
      </c>
      <c r="G9" s="127" t="s">
        <v>173</v>
      </c>
      <c r="H9" s="29" t="s">
        <v>234</v>
      </c>
      <c r="I9" s="29" t="s">
        <v>62</v>
      </c>
      <c r="J9" s="29" t="s">
        <v>178</v>
      </c>
    </row>
    <row r="10" spans="1:10" s="28" customFormat="1" ht="89.25" customHeight="1" x14ac:dyDescent="0.25">
      <c r="A10" s="313"/>
      <c r="B10" s="311"/>
      <c r="C10" s="311"/>
      <c r="D10" s="311" t="s">
        <v>175</v>
      </c>
      <c r="E10" s="311" t="s">
        <v>176</v>
      </c>
      <c r="F10" s="316">
        <f>Workplan!AR13</f>
        <v>135150000</v>
      </c>
      <c r="G10" s="29" t="s">
        <v>65</v>
      </c>
      <c r="H10" s="29" t="s">
        <v>66</v>
      </c>
      <c r="I10" s="29" t="s">
        <v>177</v>
      </c>
      <c r="J10" s="29" t="s">
        <v>67</v>
      </c>
    </row>
    <row r="11" spans="1:10" s="28" customFormat="1" ht="90" x14ac:dyDescent="0.25">
      <c r="A11" s="313"/>
      <c r="B11" s="311"/>
      <c r="C11" s="311"/>
      <c r="D11" s="311"/>
      <c r="E11" s="311"/>
      <c r="F11" s="318"/>
      <c r="G11" s="29" t="s">
        <v>181</v>
      </c>
      <c r="H11" s="29" t="s">
        <v>180</v>
      </c>
      <c r="I11" s="29" t="s">
        <v>182</v>
      </c>
      <c r="J11" s="29" t="s">
        <v>179</v>
      </c>
    </row>
    <row r="12" spans="1:10" s="28" customFormat="1" ht="87" customHeight="1" x14ac:dyDescent="0.25">
      <c r="A12" s="313"/>
      <c r="B12" s="311"/>
      <c r="C12" s="311"/>
      <c r="D12" s="311" t="s">
        <v>184</v>
      </c>
      <c r="E12" s="311" t="s">
        <v>183</v>
      </c>
      <c r="F12" s="316"/>
      <c r="G12" s="29" t="s">
        <v>187</v>
      </c>
      <c r="H12" s="29" t="s">
        <v>185</v>
      </c>
      <c r="I12" s="29" t="s">
        <v>34</v>
      </c>
      <c r="J12" s="29" t="s">
        <v>186</v>
      </c>
    </row>
    <row r="13" spans="1:10" s="28" customFormat="1" ht="105" x14ac:dyDescent="0.25">
      <c r="A13" s="313"/>
      <c r="B13" s="311"/>
      <c r="C13" s="311"/>
      <c r="D13" s="311"/>
      <c r="E13" s="311"/>
      <c r="F13" s="317"/>
      <c r="G13" s="29" t="s">
        <v>188</v>
      </c>
      <c r="H13" s="29" t="s">
        <v>189</v>
      </c>
      <c r="I13" s="29" t="s">
        <v>35</v>
      </c>
      <c r="J13" s="143" t="s">
        <v>190</v>
      </c>
    </row>
    <row r="14" spans="1:10" s="28" customFormat="1" ht="105" x14ac:dyDescent="0.25">
      <c r="A14" s="313"/>
      <c r="B14" s="311"/>
      <c r="C14" s="311"/>
      <c r="D14" s="311"/>
      <c r="E14" s="311"/>
      <c r="F14" s="317"/>
      <c r="G14" s="29" t="s">
        <v>192</v>
      </c>
      <c r="H14" s="29" t="s">
        <v>244</v>
      </c>
      <c r="I14" s="29" t="s">
        <v>245</v>
      </c>
      <c r="J14" s="29" t="s">
        <v>191</v>
      </c>
    </row>
    <row r="15" spans="1:10" s="28" customFormat="1" ht="60" x14ac:dyDescent="0.25">
      <c r="A15" s="313"/>
      <c r="B15" s="311"/>
      <c r="C15" s="311"/>
      <c r="D15" s="311"/>
      <c r="E15" s="311"/>
      <c r="F15" s="318"/>
      <c r="G15" s="29" t="s">
        <v>193</v>
      </c>
      <c r="H15" s="29" t="s">
        <v>243</v>
      </c>
      <c r="I15" s="29" t="s">
        <v>194</v>
      </c>
      <c r="J15" s="29" t="s">
        <v>84</v>
      </c>
    </row>
    <row r="16" spans="1:10" s="32" customFormat="1" x14ac:dyDescent="0.25">
      <c r="A16" s="313"/>
      <c r="B16" s="315" t="s">
        <v>74</v>
      </c>
      <c r="C16" s="315"/>
      <c r="D16" s="315"/>
      <c r="E16" s="315"/>
      <c r="F16" s="315"/>
      <c r="G16" s="315"/>
      <c r="H16" s="315"/>
      <c r="I16" s="315"/>
      <c r="J16" s="315"/>
    </row>
    <row r="17" spans="1:10" s="34" customFormat="1" x14ac:dyDescent="0.25">
      <c r="A17" s="313"/>
      <c r="B17" s="307"/>
      <c r="C17" s="307"/>
      <c r="D17" s="307"/>
      <c r="E17" s="307"/>
      <c r="F17" s="33"/>
      <c r="G17" s="29"/>
      <c r="H17" s="29"/>
      <c r="I17" s="29"/>
      <c r="J17" s="29"/>
    </row>
    <row r="18" spans="1:10" s="34" customFormat="1" x14ac:dyDescent="0.25">
      <c r="A18" s="313"/>
      <c r="B18" s="308"/>
      <c r="C18" s="308"/>
      <c r="D18" s="308"/>
      <c r="E18" s="308"/>
      <c r="F18" s="33"/>
      <c r="G18" s="29"/>
      <c r="H18" s="29"/>
      <c r="I18" s="29"/>
      <c r="J18" s="29"/>
    </row>
    <row r="19" spans="1:10" s="32" customFormat="1" x14ac:dyDescent="0.25">
      <c r="A19" s="313"/>
      <c r="B19" s="308"/>
      <c r="C19" s="308"/>
      <c r="D19" s="308"/>
      <c r="E19" s="308"/>
      <c r="F19" s="319"/>
      <c r="G19" s="29"/>
      <c r="H19" s="29"/>
      <c r="I19" s="29"/>
      <c r="J19" s="29"/>
    </row>
    <row r="20" spans="1:10" s="32" customFormat="1" x14ac:dyDescent="0.25">
      <c r="A20" s="313"/>
      <c r="B20" s="308"/>
      <c r="C20" s="308"/>
      <c r="D20" s="309"/>
      <c r="E20" s="309"/>
      <c r="F20" s="320"/>
      <c r="G20" s="29"/>
      <c r="H20" s="29"/>
      <c r="I20" s="29"/>
      <c r="J20" s="29"/>
    </row>
    <row r="21" spans="1:10" s="32" customFormat="1" ht="60" customHeight="1" x14ac:dyDescent="0.25">
      <c r="A21" s="313"/>
      <c r="B21" s="308"/>
      <c r="C21" s="308"/>
      <c r="D21" s="307"/>
      <c r="E21" s="307"/>
      <c r="F21" s="316"/>
      <c r="G21" s="35"/>
      <c r="H21" s="35"/>
      <c r="I21" s="35"/>
      <c r="J21" s="29"/>
    </row>
    <row r="22" spans="1:10" s="32" customFormat="1" x14ac:dyDescent="0.25">
      <c r="A22" s="313"/>
      <c r="B22" s="308"/>
      <c r="C22" s="308"/>
      <c r="D22" s="308"/>
      <c r="E22" s="308"/>
      <c r="F22" s="317"/>
      <c r="G22" s="35"/>
      <c r="H22" s="35"/>
      <c r="I22" s="35"/>
      <c r="J22" s="29"/>
    </row>
    <row r="23" spans="1:10" s="32" customFormat="1" x14ac:dyDescent="0.25">
      <c r="A23" s="313"/>
      <c r="B23" s="308"/>
      <c r="C23" s="308"/>
      <c r="D23" s="309"/>
      <c r="E23" s="309"/>
      <c r="F23" s="318"/>
      <c r="G23" s="35"/>
      <c r="H23" s="35"/>
      <c r="I23" s="35"/>
      <c r="J23" s="29"/>
    </row>
    <row r="24" spans="1:10" s="32" customFormat="1" x14ac:dyDescent="0.25">
      <c r="A24" s="313"/>
      <c r="B24" s="308"/>
      <c r="C24" s="308"/>
      <c r="D24" s="305"/>
      <c r="E24" s="305"/>
      <c r="F24" s="316"/>
      <c r="G24" s="35"/>
      <c r="H24" s="35"/>
      <c r="I24" s="35"/>
      <c r="J24" s="29"/>
    </row>
    <row r="25" spans="1:10" s="32" customFormat="1" x14ac:dyDescent="0.25">
      <c r="A25" s="313"/>
      <c r="B25" s="308"/>
      <c r="C25" s="308"/>
      <c r="D25" s="306"/>
      <c r="E25" s="306"/>
      <c r="F25" s="317"/>
      <c r="G25" s="35"/>
      <c r="H25" s="35"/>
      <c r="I25" s="35"/>
      <c r="J25" s="29"/>
    </row>
    <row r="26" spans="1:10" s="32" customFormat="1" x14ac:dyDescent="0.25">
      <c r="A26" s="313"/>
      <c r="B26" s="308"/>
      <c r="C26" s="308"/>
      <c r="D26" s="306"/>
      <c r="E26" s="306"/>
      <c r="F26" s="317"/>
      <c r="G26" s="35"/>
      <c r="H26" s="36"/>
      <c r="I26" s="35"/>
      <c r="J26" s="29"/>
    </row>
    <row r="27" spans="1:10" s="32" customFormat="1" x14ac:dyDescent="0.25">
      <c r="A27" s="313"/>
      <c r="B27" s="308"/>
      <c r="C27" s="308"/>
      <c r="D27" s="306"/>
      <c r="E27" s="306"/>
      <c r="F27" s="318"/>
      <c r="G27" s="35"/>
      <c r="H27" s="36"/>
      <c r="I27" s="35"/>
      <c r="J27" s="29"/>
    </row>
    <row r="28" spans="1:10" s="32" customFormat="1" x14ac:dyDescent="0.25">
      <c r="A28" s="313"/>
      <c r="B28" s="309"/>
      <c r="C28" s="309"/>
      <c r="D28" s="310"/>
      <c r="E28" s="310"/>
      <c r="F28" s="37"/>
      <c r="G28" s="35"/>
      <c r="H28" s="36"/>
      <c r="I28" s="35"/>
      <c r="J28" s="29"/>
    </row>
    <row r="29" spans="1:10" s="28" customFormat="1" x14ac:dyDescent="0.25">
      <c r="A29" s="313"/>
      <c r="B29" s="298" t="s">
        <v>75</v>
      </c>
      <c r="C29" s="299"/>
      <c r="D29" s="299"/>
      <c r="E29" s="299"/>
      <c r="F29" s="299"/>
      <c r="G29" s="299"/>
      <c r="H29" s="299"/>
      <c r="I29" s="300"/>
    </row>
    <row r="30" spans="1:10" s="32" customFormat="1" ht="120" customHeight="1" x14ac:dyDescent="0.25">
      <c r="A30" s="313"/>
      <c r="B30" s="301"/>
      <c r="C30" s="303"/>
      <c r="D30" s="305"/>
      <c r="E30" s="305"/>
      <c r="F30" s="38"/>
      <c r="G30" s="29"/>
      <c r="H30" s="29"/>
      <c r="I30" s="29"/>
      <c r="J30" s="29"/>
    </row>
    <row r="31" spans="1:10" s="32" customFormat="1" ht="90" customHeight="1" x14ac:dyDescent="0.25">
      <c r="A31" s="313"/>
      <c r="B31" s="302"/>
      <c r="C31" s="304"/>
      <c r="D31" s="306"/>
      <c r="E31" s="306"/>
      <c r="F31" s="38"/>
      <c r="G31" s="29"/>
      <c r="H31" s="29"/>
      <c r="I31" s="29"/>
      <c r="J31" s="29"/>
    </row>
    <row r="32" spans="1:10" s="32" customFormat="1" x14ac:dyDescent="0.25">
      <c r="A32" s="313"/>
      <c r="B32" s="298"/>
      <c r="C32" s="299"/>
      <c r="D32" s="299"/>
      <c r="E32" s="299"/>
      <c r="F32" s="299"/>
      <c r="G32" s="299"/>
      <c r="H32" s="299"/>
      <c r="I32" s="300"/>
    </row>
    <row r="33" spans="1:10" s="32" customFormat="1" ht="75" customHeight="1" x14ac:dyDescent="0.25">
      <c r="A33" s="313"/>
      <c r="B33" s="305"/>
      <c r="C33" s="305"/>
      <c r="D33" s="307"/>
      <c r="E33" s="307"/>
      <c r="F33" s="38"/>
      <c r="G33" s="29"/>
      <c r="H33" s="29"/>
      <c r="I33" s="29"/>
      <c r="J33" s="29"/>
    </row>
    <row r="34" spans="1:10" s="32" customFormat="1" x14ac:dyDescent="0.25">
      <c r="A34" s="313"/>
      <c r="B34" s="306"/>
      <c r="C34" s="306"/>
      <c r="D34" s="308"/>
      <c r="E34" s="308"/>
      <c r="F34" s="38"/>
      <c r="G34" s="29"/>
      <c r="H34" s="29"/>
      <c r="I34" s="29"/>
      <c r="J34" s="29"/>
    </row>
    <row r="35" spans="1:10" s="32" customFormat="1" x14ac:dyDescent="0.25">
      <c r="A35" s="313"/>
      <c r="B35" s="306"/>
      <c r="C35" s="306"/>
      <c r="D35" s="308"/>
      <c r="E35" s="308"/>
      <c r="F35" s="38"/>
      <c r="G35" s="29"/>
      <c r="H35" s="29"/>
      <c r="I35" s="29"/>
      <c r="J35" s="29"/>
    </row>
    <row r="36" spans="1:10" s="32" customFormat="1" ht="60" customHeight="1" x14ac:dyDescent="0.25">
      <c r="A36" s="313"/>
      <c r="B36" s="306"/>
      <c r="C36" s="306"/>
      <c r="D36" s="308"/>
      <c r="E36" s="308"/>
      <c r="F36" s="38"/>
      <c r="G36" s="29"/>
      <c r="H36" s="29"/>
      <c r="I36" s="29"/>
      <c r="J36" s="29"/>
    </row>
    <row r="37" spans="1:10" s="32" customFormat="1" x14ac:dyDescent="0.25">
      <c r="A37" s="313"/>
      <c r="B37" s="306"/>
      <c r="C37" s="306"/>
      <c r="D37" s="308"/>
      <c r="E37" s="308"/>
      <c r="F37" s="38"/>
      <c r="G37" s="29"/>
      <c r="H37" s="29"/>
      <c r="I37" s="29"/>
      <c r="J37" s="29"/>
    </row>
    <row r="38" spans="1:10" s="32" customFormat="1" x14ac:dyDescent="0.25">
      <c r="A38" s="313"/>
      <c r="B38" s="306"/>
      <c r="C38" s="306"/>
      <c r="D38" s="309"/>
      <c r="E38" s="309"/>
      <c r="F38" s="38"/>
      <c r="G38" s="29"/>
      <c r="H38" s="29"/>
      <c r="I38" s="29"/>
      <c r="J38" s="29"/>
    </row>
    <row r="39" spans="1:10" s="32" customFormat="1" x14ac:dyDescent="0.25">
      <c r="A39" s="313"/>
      <c r="B39" s="306"/>
      <c r="C39" s="306"/>
      <c r="D39" s="305"/>
      <c r="E39" s="307"/>
      <c r="F39" s="38"/>
      <c r="G39" s="29"/>
      <c r="H39" s="29"/>
      <c r="I39" s="29"/>
      <c r="J39" s="29"/>
    </row>
    <row r="40" spans="1:10" s="32" customFormat="1" x14ac:dyDescent="0.25">
      <c r="A40" s="313"/>
      <c r="B40" s="306"/>
      <c r="C40" s="306"/>
      <c r="D40" s="306"/>
      <c r="E40" s="308"/>
      <c r="F40" s="38"/>
      <c r="G40" s="29"/>
      <c r="H40" s="29"/>
      <c r="I40" s="29"/>
      <c r="J40" s="29"/>
    </row>
    <row r="41" spans="1:10" s="32" customFormat="1" x14ac:dyDescent="0.25">
      <c r="A41" s="314"/>
      <c r="B41" s="306"/>
      <c r="C41" s="306"/>
      <c r="D41" s="310"/>
      <c r="E41" s="309"/>
      <c r="F41" s="38"/>
      <c r="G41" s="29"/>
      <c r="H41" s="29"/>
      <c r="I41" s="29"/>
      <c r="J41" s="29"/>
    </row>
  </sheetData>
  <mergeCells count="39">
    <mergeCell ref="F10:F11"/>
    <mergeCell ref="F12:F15"/>
    <mergeCell ref="E21:E23"/>
    <mergeCell ref="F21:F23"/>
    <mergeCell ref="D24:D28"/>
    <mergeCell ref="E24:E28"/>
    <mergeCell ref="F24:F27"/>
    <mergeCell ref="F19:F20"/>
    <mergeCell ref="E17:E20"/>
    <mergeCell ref="D17:D20"/>
    <mergeCell ref="D21:D23"/>
    <mergeCell ref="B5:B9"/>
    <mergeCell ref="C5:C9"/>
    <mergeCell ref="B10:B15"/>
    <mergeCell ref="C10:C15"/>
    <mergeCell ref="A4:A41"/>
    <mergeCell ref="B17:B28"/>
    <mergeCell ref="C17:C28"/>
    <mergeCell ref="B4:J4"/>
    <mergeCell ref="D5:D8"/>
    <mergeCell ref="E5:E8"/>
    <mergeCell ref="F5:F8"/>
    <mergeCell ref="D10:D11"/>
    <mergeCell ref="E10:E11"/>
    <mergeCell ref="D12:D15"/>
    <mergeCell ref="E12:E15"/>
    <mergeCell ref="B16:J16"/>
    <mergeCell ref="B32:I32"/>
    <mergeCell ref="B33:B41"/>
    <mergeCell ref="C33:C41"/>
    <mergeCell ref="D33:D38"/>
    <mergeCell ref="E33:E38"/>
    <mergeCell ref="D39:D41"/>
    <mergeCell ref="E39:E41"/>
    <mergeCell ref="B29:I29"/>
    <mergeCell ref="B30:B31"/>
    <mergeCell ref="C30:C31"/>
    <mergeCell ref="D30:D31"/>
    <mergeCell ref="E30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"/>
  <sheetViews>
    <sheetView tabSelected="1" zoomScale="55" zoomScaleNormal="55" workbookViewId="0">
      <pane xSplit="4" ySplit="3" topLeftCell="G4" activePane="bottomRight" state="frozen"/>
      <selection pane="topRight" activeCell="E1" sqref="E1"/>
      <selection pane="bottomLeft" activeCell="A5" sqref="A5"/>
      <selection pane="bottomRight" activeCell="AT39" sqref="AT39"/>
    </sheetView>
  </sheetViews>
  <sheetFormatPr defaultRowHeight="16.5" x14ac:dyDescent="0.25"/>
  <cols>
    <col min="1" max="1" width="4.42578125" style="6" customWidth="1"/>
    <col min="2" max="2" width="3.7109375" style="6" customWidth="1"/>
    <col min="3" max="3" width="3.5703125" style="6" customWidth="1"/>
    <col min="4" max="4" width="39.7109375" style="9" customWidth="1"/>
    <col min="5" max="13" width="2.42578125" style="8" customWidth="1"/>
    <col min="14" max="16" width="3.42578125" style="8" customWidth="1"/>
    <col min="17" max="25" width="2.42578125" style="8" customWidth="1"/>
    <col min="26" max="28" width="3.42578125" style="8" customWidth="1"/>
    <col min="29" max="37" width="2.42578125" style="8" customWidth="1"/>
    <col min="38" max="40" width="3.42578125" style="8" customWidth="1"/>
    <col min="41" max="41" width="21.140625" style="238" bestFit="1" customWidth="1"/>
    <col min="42" max="42" width="16" style="238" bestFit="1" customWidth="1"/>
    <col min="43" max="43" width="11.28515625" style="238" bestFit="1" customWidth="1"/>
    <col min="44" max="44" width="21.7109375" style="239" bestFit="1" customWidth="1"/>
    <col min="45" max="45" width="21" style="39" customWidth="1"/>
    <col min="46" max="46" width="17.28515625" style="39" customWidth="1"/>
    <col min="47" max="47" width="16.140625" style="39" customWidth="1"/>
    <col min="48" max="48" width="23.5703125" style="9" customWidth="1"/>
    <col min="49" max="49" width="22.7109375" style="9" customWidth="1"/>
    <col min="50" max="50" width="20.140625" style="6" customWidth="1"/>
    <col min="51" max="51" width="21.140625" style="40" customWidth="1"/>
    <col min="52" max="52" width="20.28515625" style="9" customWidth="1"/>
    <col min="53" max="55" width="9.140625" style="4"/>
    <col min="56" max="16384" width="9.140625" style="6"/>
  </cols>
  <sheetData>
    <row r="1" spans="1:55" ht="15.75" customHeight="1" thickBot="1" x14ac:dyDescent="0.3">
      <c r="A1" s="99" t="s">
        <v>86</v>
      </c>
      <c r="BA1" s="3"/>
      <c r="BB1" s="3"/>
      <c r="BC1" s="3"/>
    </row>
    <row r="2" spans="1:55" s="5" customFormat="1" ht="43.5" customHeight="1" thickBot="1" x14ac:dyDescent="0.3">
      <c r="A2" s="41" t="s">
        <v>8</v>
      </c>
      <c r="B2" s="42" t="s">
        <v>8</v>
      </c>
      <c r="C2" s="42" t="s">
        <v>9</v>
      </c>
      <c r="D2" s="335" t="s">
        <v>10</v>
      </c>
      <c r="E2" s="328" t="s">
        <v>2</v>
      </c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30"/>
      <c r="Q2" s="328" t="s">
        <v>3</v>
      </c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30"/>
      <c r="AC2" s="331" t="s">
        <v>4</v>
      </c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3"/>
      <c r="AO2" s="342" t="s">
        <v>261</v>
      </c>
      <c r="AP2" s="343"/>
      <c r="AQ2" s="343"/>
      <c r="AR2" s="344"/>
      <c r="AS2" s="331" t="s">
        <v>36</v>
      </c>
      <c r="AT2" s="332"/>
      <c r="AU2" s="332"/>
      <c r="AV2" s="333"/>
      <c r="AW2" s="345" t="s">
        <v>13</v>
      </c>
      <c r="AX2" s="43" t="s">
        <v>37</v>
      </c>
      <c r="AY2" s="44" t="s">
        <v>38</v>
      </c>
      <c r="AZ2" s="340" t="s">
        <v>12</v>
      </c>
      <c r="BA2" s="45"/>
      <c r="BB2" s="45"/>
      <c r="BC2" s="45"/>
    </row>
    <row r="3" spans="1:55" s="5" customFormat="1" ht="17.25" thickBot="1" x14ac:dyDescent="0.3">
      <c r="A3" s="100"/>
      <c r="B3" s="101"/>
      <c r="C3" s="101"/>
      <c r="D3" s="336"/>
      <c r="E3" s="123">
        <v>1</v>
      </c>
      <c r="F3" s="124">
        <v>2</v>
      </c>
      <c r="G3" s="125">
        <v>3</v>
      </c>
      <c r="H3" s="123">
        <v>4</v>
      </c>
      <c r="I3" s="124">
        <v>5</v>
      </c>
      <c r="J3" s="125">
        <v>6</v>
      </c>
      <c r="K3" s="123">
        <v>7</v>
      </c>
      <c r="L3" s="124">
        <v>8</v>
      </c>
      <c r="M3" s="125">
        <v>9</v>
      </c>
      <c r="N3" s="123">
        <v>10</v>
      </c>
      <c r="O3" s="124">
        <v>11</v>
      </c>
      <c r="P3" s="125">
        <v>12</v>
      </c>
      <c r="Q3" s="123">
        <v>1</v>
      </c>
      <c r="R3" s="124">
        <v>2</v>
      </c>
      <c r="S3" s="125">
        <v>3</v>
      </c>
      <c r="T3" s="123">
        <v>4</v>
      </c>
      <c r="U3" s="124">
        <v>5</v>
      </c>
      <c r="V3" s="125">
        <v>6</v>
      </c>
      <c r="W3" s="123">
        <v>7</v>
      </c>
      <c r="X3" s="124">
        <v>8</v>
      </c>
      <c r="Y3" s="125">
        <v>9</v>
      </c>
      <c r="Z3" s="123">
        <v>10</v>
      </c>
      <c r="AA3" s="124">
        <v>11</v>
      </c>
      <c r="AB3" s="125">
        <v>12</v>
      </c>
      <c r="AC3" s="123">
        <v>1</v>
      </c>
      <c r="AD3" s="124">
        <v>2</v>
      </c>
      <c r="AE3" s="125">
        <v>3</v>
      </c>
      <c r="AF3" s="123">
        <v>4</v>
      </c>
      <c r="AG3" s="124">
        <v>5</v>
      </c>
      <c r="AH3" s="125">
        <v>6</v>
      </c>
      <c r="AI3" s="123">
        <v>7</v>
      </c>
      <c r="AJ3" s="124">
        <v>8</v>
      </c>
      <c r="AK3" s="125">
        <v>9</v>
      </c>
      <c r="AL3" s="123">
        <v>10</v>
      </c>
      <c r="AM3" s="124">
        <v>11</v>
      </c>
      <c r="AN3" s="125">
        <v>12</v>
      </c>
      <c r="AO3" s="240" t="s">
        <v>2</v>
      </c>
      <c r="AP3" s="241" t="s">
        <v>3</v>
      </c>
      <c r="AQ3" s="242" t="s">
        <v>4</v>
      </c>
      <c r="AR3" s="243" t="s">
        <v>39</v>
      </c>
      <c r="AS3" s="102" t="s">
        <v>2</v>
      </c>
      <c r="AT3" s="103" t="s">
        <v>3</v>
      </c>
      <c r="AU3" s="104" t="s">
        <v>4</v>
      </c>
      <c r="AV3" s="105" t="s">
        <v>11</v>
      </c>
      <c r="AW3" s="346"/>
      <c r="AX3" s="106"/>
      <c r="AY3" s="107"/>
      <c r="AZ3" s="341"/>
      <c r="BA3" s="47"/>
      <c r="BB3" s="47"/>
      <c r="BC3" s="47"/>
    </row>
    <row r="4" spans="1:55" s="122" customFormat="1" ht="84" customHeight="1" x14ac:dyDescent="0.25">
      <c r="A4" s="337" t="str">
        <f>Logframe!A4</f>
        <v>Terwujudnya kelestarian 123.456 ha habitat kawasan penyangga TN Kerinci Seblat blok Bujang-Raba  berdasarkan pengelolaan ekosistem hutan  berkelanjutan berbasis masyarakat dan pengembangan ekonomi lestari berbasis potensi lokal di Kabupaten Bungo, provinsi Jambi</v>
      </c>
      <c r="B4" s="338"/>
      <c r="C4" s="338"/>
      <c r="D4" s="339"/>
      <c r="E4" s="98">
        <v>41791</v>
      </c>
      <c r="F4" s="98">
        <v>41821</v>
      </c>
      <c r="G4" s="98">
        <v>41852</v>
      </c>
      <c r="H4" s="98">
        <v>41883</v>
      </c>
      <c r="I4" s="98">
        <v>41913</v>
      </c>
      <c r="J4" s="98">
        <v>41944</v>
      </c>
      <c r="K4" s="98">
        <v>41974</v>
      </c>
      <c r="L4" s="98">
        <v>42005</v>
      </c>
      <c r="M4" s="98">
        <v>42036</v>
      </c>
      <c r="N4" s="98">
        <v>42064</v>
      </c>
      <c r="O4" s="98">
        <v>42095</v>
      </c>
      <c r="P4" s="98">
        <v>42125</v>
      </c>
      <c r="Q4" s="98">
        <v>42156</v>
      </c>
      <c r="R4" s="98">
        <v>42186</v>
      </c>
      <c r="S4" s="98">
        <v>42217</v>
      </c>
      <c r="T4" s="98">
        <v>42248</v>
      </c>
      <c r="U4" s="98">
        <v>42278</v>
      </c>
      <c r="V4" s="98">
        <v>42309</v>
      </c>
      <c r="W4" s="98">
        <v>42339</v>
      </c>
      <c r="X4" s="98">
        <v>42370</v>
      </c>
      <c r="Y4" s="98">
        <v>42401</v>
      </c>
      <c r="Z4" s="98">
        <v>42430</v>
      </c>
      <c r="AA4" s="98">
        <v>42461</v>
      </c>
      <c r="AB4" s="98">
        <v>42491</v>
      </c>
      <c r="AC4" s="98">
        <v>42522</v>
      </c>
      <c r="AD4" s="98">
        <v>42552</v>
      </c>
      <c r="AE4" s="98">
        <v>42583</v>
      </c>
      <c r="AF4" s="98">
        <v>42614</v>
      </c>
      <c r="AG4" s="98">
        <v>42644</v>
      </c>
      <c r="AH4" s="98">
        <v>42675</v>
      </c>
      <c r="AI4" s="98">
        <v>42705</v>
      </c>
      <c r="AJ4" s="98">
        <v>42736</v>
      </c>
      <c r="AK4" s="98">
        <v>42767</v>
      </c>
      <c r="AL4" s="98">
        <v>42795</v>
      </c>
      <c r="AM4" s="98">
        <v>42826</v>
      </c>
      <c r="AN4" s="98">
        <v>42856</v>
      </c>
      <c r="AO4" s="244"/>
      <c r="AP4" s="245"/>
      <c r="AQ4" s="245"/>
      <c r="AR4" s="246"/>
      <c r="AS4" s="116"/>
      <c r="AT4" s="117"/>
      <c r="AU4" s="117"/>
      <c r="AV4" s="118"/>
      <c r="AW4" s="119"/>
      <c r="AX4" s="114"/>
      <c r="AY4" s="115"/>
      <c r="AZ4" s="120"/>
      <c r="BA4" s="121"/>
      <c r="BB4" s="121"/>
      <c r="BC4" s="121"/>
    </row>
    <row r="5" spans="1:55" s="48" customFormat="1" ht="60.75" customHeight="1" x14ac:dyDescent="0.25">
      <c r="A5" s="11">
        <v>1</v>
      </c>
      <c r="B5" s="322" t="str">
        <f>Logframe!B4</f>
        <v>Komponen 1. Pemetaan potensi koridor habitat dan sinkronisasi kebijakan pembangunan kehutanan di kawasan penyangga TNKS Blok Bujang Raba</v>
      </c>
      <c r="C5" s="323"/>
      <c r="D5" s="323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  <c r="AO5" s="247">
        <f>AO6+AO11+AO13+AO16</f>
        <v>562150000</v>
      </c>
      <c r="AP5" s="247">
        <f>AP6+AP11+AP14+AP17</f>
        <v>0</v>
      </c>
      <c r="AQ5" s="247">
        <f t="shared" ref="AQ5" si="0">AQ6+AQ11+AQ13+AQ16</f>
        <v>0</v>
      </c>
      <c r="AR5" s="248">
        <f>SUM(AO5:AQ5)</f>
        <v>562150000</v>
      </c>
      <c r="AS5" s="108"/>
      <c r="AT5" s="109"/>
      <c r="AU5" s="109"/>
      <c r="AV5" s="110"/>
      <c r="AW5" s="111"/>
      <c r="AX5" s="14"/>
      <c r="AY5" s="14"/>
      <c r="AZ5" s="112"/>
      <c r="BA5" s="113"/>
      <c r="BB5" s="113"/>
      <c r="BC5" s="113"/>
    </row>
    <row r="6" spans="1:55" s="8" customFormat="1" ht="105" x14ac:dyDescent="0.25">
      <c r="A6" s="7"/>
      <c r="B6" s="7"/>
      <c r="C6" s="334" t="str">
        <f>Logframe!D5</f>
        <v>K 1.1. Mengidentifikasi kondisi tutupan hutan, penggunaan lahan,  potensi koridor dan potensi PHBM dengan melakukan pemetaan dan analisis spasial  di kawasan penyangga TNKS blok Bujang Raba</v>
      </c>
      <c r="D6" s="326"/>
      <c r="E6" s="51"/>
      <c r="F6" s="7"/>
      <c r="G6" s="7"/>
      <c r="H6" s="7"/>
      <c r="I6" s="7"/>
      <c r="J6" s="7"/>
      <c r="K6" s="7"/>
      <c r="L6" s="7"/>
      <c r="M6" s="7"/>
      <c r="N6" s="7"/>
      <c r="O6" s="7"/>
      <c r="P6" s="50"/>
      <c r="Q6" s="51"/>
      <c r="R6" s="7"/>
      <c r="S6" s="7"/>
      <c r="T6" s="7"/>
      <c r="U6" s="7"/>
      <c r="V6" s="7"/>
      <c r="W6" s="7"/>
      <c r="X6" s="7"/>
      <c r="Y6" s="7"/>
      <c r="Z6" s="7"/>
      <c r="AA6" s="7"/>
      <c r="AB6" s="50"/>
      <c r="AC6" s="51"/>
      <c r="AD6" s="7"/>
      <c r="AE6" s="7"/>
      <c r="AF6" s="7"/>
      <c r="AG6" s="7"/>
      <c r="AH6" s="7"/>
      <c r="AI6" s="7"/>
      <c r="AJ6" s="7"/>
      <c r="AK6" s="7"/>
      <c r="AL6" s="7"/>
      <c r="AM6" s="7"/>
      <c r="AN6" s="50"/>
      <c r="AO6" s="249">
        <f>SUM(AO7:AO10)</f>
        <v>166500000</v>
      </c>
      <c r="AP6" s="249">
        <f t="shared" ref="AP6:AQ6" si="1">SUM(AP7:AP10)</f>
        <v>0</v>
      </c>
      <c r="AQ6" s="249">
        <f t="shared" si="1"/>
        <v>0</v>
      </c>
      <c r="AR6" s="250">
        <f>SUM(AO6:AQ6)</f>
        <v>166500000</v>
      </c>
      <c r="AS6" s="52" t="s">
        <v>231</v>
      </c>
      <c r="AT6" s="53"/>
      <c r="AU6" s="53"/>
      <c r="AV6" s="56" t="str">
        <f>Logframe!E5</f>
        <v>L 1.1. Dihasilkannya peta kondisi tutupan hutan, penggunaan lahan,  potensi koridor dan potensi PHBM  di kawasan penyangga TNKS blok Bujang Raba</v>
      </c>
      <c r="AW6" s="222"/>
      <c r="AX6" s="223" t="s">
        <v>70</v>
      </c>
      <c r="AY6" s="46"/>
      <c r="AZ6" s="56"/>
      <c r="BA6" s="4"/>
      <c r="BB6" s="4"/>
      <c r="BC6" s="4"/>
    </row>
    <row r="7" spans="1:55" s="8" customFormat="1" ht="88.5" customHeight="1" x14ac:dyDescent="0.25">
      <c r="A7" s="7">
        <v>1</v>
      </c>
      <c r="B7" s="7">
        <v>1</v>
      </c>
      <c r="C7" s="12">
        <v>1</v>
      </c>
      <c r="D7" s="49" t="str">
        <f>Logframe!G5</f>
        <v>SK 1.1.1. Pengadaan citra satelit  dan pengumpulan dokumen RTRW Kabupaten Bungo</v>
      </c>
      <c r="E7" s="289"/>
      <c r="F7" s="290"/>
      <c r="G7" s="7"/>
      <c r="H7" s="7"/>
      <c r="I7" s="7"/>
      <c r="J7" s="7"/>
      <c r="K7" s="7"/>
      <c r="L7" s="7"/>
      <c r="M7" s="7"/>
      <c r="N7" s="7"/>
      <c r="O7" s="7"/>
      <c r="P7" s="50"/>
      <c r="Q7" s="289"/>
      <c r="R7" s="290"/>
      <c r="S7" s="7"/>
      <c r="T7" s="7"/>
      <c r="U7" s="7"/>
      <c r="V7" s="7"/>
      <c r="W7" s="7"/>
      <c r="X7" s="7"/>
      <c r="Y7" s="7"/>
      <c r="Z7" s="7"/>
      <c r="AA7" s="7"/>
      <c r="AB7" s="50"/>
      <c r="AC7" s="51"/>
      <c r="AD7" s="7"/>
      <c r="AE7" s="7"/>
      <c r="AF7" s="7"/>
      <c r="AG7" s="7"/>
      <c r="AH7" s="7"/>
      <c r="AI7" s="7"/>
      <c r="AJ7" s="7"/>
      <c r="AK7" s="7"/>
      <c r="AL7" s="7"/>
      <c r="AM7" s="7"/>
      <c r="AN7" s="50"/>
      <c r="AO7" s="249">
        <f>Cashflow!P10</f>
        <v>145500000</v>
      </c>
      <c r="AP7" s="251">
        <f>Cashflow!AC10</f>
        <v>0</v>
      </c>
      <c r="AQ7" s="251">
        <f>Cashflow!AP10</f>
        <v>0</v>
      </c>
      <c r="AR7" s="252">
        <f t="shared" ref="AR7:AR20" si="2">SUM(AO7:AQ7)</f>
        <v>145500000</v>
      </c>
      <c r="AS7" s="52" t="s">
        <v>254</v>
      </c>
      <c r="AT7" s="52" t="s">
        <v>255</v>
      </c>
      <c r="AU7" s="53"/>
      <c r="AV7" s="54" t="str">
        <f>Logframe!H5</f>
        <v>Ind 1.1.1. Tersedianya 10 scene  Citra satelit (tahun 2014 dan 2015),  50 nlp Peta RBI, dan 1   dokumen RTRW Kabupaten</v>
      </c>
      <c r="AW7" s="55" t="str">
        <f>Logframe!I5</f>
        <v>MoV 1.1.1. Citra Satelit, Peta RBI, dan dokumen RTRW kabupaten Bungo</v>
      </c>
      <c r="AX7" s="13" t="s">
        <v>40</v>
      </c>
      <c r="AY7" s="46" t="str">
        <f>Logframe!J5</f>
        <v>As.1.1.1. Citra satelit, peta, dan dokumen RTRW mudah diperoleh, Bappeda bersedia bekerja sama</v>
      </c>
      <c r="AZ7" s="56" t="s">
        <v>80</v>
      </c>
      <c r="BA7" s="4"/>
      <c r="BB7" s="4"/>
      <c r="BC7" s="4"/>
    </row>
    <row r="8" spans="1:55" s="8" customFormat="1" ht="105" x14ac:dyDescent="0.25">
      <c r="A8" s="7">
        <v>1</v>
      </c>
      <c r="B8" s="7">
        <v>1</v>
      </c>
      <c r="C8" s="11">
        <v>2</v>
      </c>
      <c r="D8" s="49" t="str">
        <f>Logframe!G6</f>
        <v>SK 1.1.2. Interpretasi dan analisis citra satelit, peta RBI, dan dokumen RTRW</v>
      </c>
      <c r="E8" s="51"/>
      <c r="G8" s="290"/>
      <c r="H8" s="290"/>
      <c r="I8" s="7"/>
      <c r="J8" s="7"/>
      <c r="K8" s="7"/>
      <c r="L8" s="7"/>
      <c r="M8" s="7"/>
      <c r="N8" s="7"/>
      <c r="O8" s="7"/>
      <c r="P8" s="50"/>
      <c r="Q8" s="51"/>
      <c r="R8" s="7"/>
      <c r="S8" s="290"/>
      <c r="T8" s="290"/>
      <c r="U8" s="7"/>
      <c r="V8" s="7"/>
      <c r="W8" s="7"/>
      <c r="X8" s="7"/>
      <c r="Y8" s="7"/>
      <c r="Z8" s="7"/>
      <c r="AA8" s="7"/>
      <c r="AB8" s="50"/>
      <c r="AC8" s="51"/>
      <c r="AD8" s="7"/>
      <c r="AE8" s="7"/>
      <c r="AF8" s="7"/>
      <c r="AG8" s="7"/>
      <c r="AH8" s="7"/>
      <c r="AI8" s="7"/>
      <c r="AJ8" s="7"/>
      <c r="AK8" s="7"/>
      <c r="AL8" s="7"/>
      <c r="AM8" s="7"/>
      <c r="AN8" s="50"/>
      <c r="AO8" s="253">
        <f>Cashflow!P11</f>
        <v>1500000</v>
      </c>
      <c r="AP8" s="251">
        <f>Cashflow!AC11</f>
        <v>0</v>
      </c>
      <c r="AQ8" s="251">
        <f>Cashflow!AP11</f>
        <v>0</v>
      </c>
      <c r="AR8" s="252">
        <f t="shared" si="2"/>
        <v>1500000</v>
      </c>
      <c r="AS8" s="52" t="s">
        <v>257</v>
      </c>
      <c r="AT8" s="53" t="s">
        <v>258</v>
      </c>
      <c r="AU8" s="53"/>
      <c r="AV8" s="54" t="str">
        <f>Logframe!H6</f>
        <v>Ind 1.1.2. Peta awal Analisis tutupan hutan, penggunaan lahan dan potensi pemodelan PHBM di 5 lokasi di kawasan penyangga TNKS blok Bujang Raba</v>
      </c>
      <c r="AW8" s="55" t="str">
        <f>Logframe!I6</f>
        <v>MoV 1.1.2. peta awal 4 tematik</v>
      </c>
      <c r="AX8" s="13" t="s">
        <v>41</v>
      </c>
      <c r="AY8" s="46" t="str">
        <f>Logframe!J6</f>
        <v>As.1.1.2. Citra dan peta yang digunakan tidak rusak</v>
      </c>
      <c r="AZ8" s="56" t="s">
        <v>71</v>
      </c>
      <c r="BA8" s="4"/>
      <c r="BB8" s="4"/>
      <c r="BC8" s="4"/>
    </row>
    <row r="9" spans="1:55" s="8" customFormat="1" ht="60" x14ac:dyDescent="0.25">
      <c r="A9" s="7">
        <v>1</v>
      </c>
      <c r="B9" s="7">
        <v>1</v>
      </c>
      <c r="C9" s="11">
        <v>3</v>
      </c>
      <c r="D9" s="49" t="str">
        <f>Logframe!G7</f>
        <v>SK 1.1.3. Ground Check di 50 titik di 5 desa</v>
      </c>
      <c r="E9" s="51"/>
      <c r="F9" s="7"/>
      <c r="G9" s="7"/>
      <c r="H9" s="7"/>
      <c r="I9" s="290"/>
      <c r="J9" s="290"/>
      <c r="K9" s="7"/>
      <c r="L9" s="7"/>
      <c r="M9" s="7"/>
      <c r="N9" s="7"/>
      <c r="O9" s="7"/>
      <c r="P9" s="50"/>
      <c r="Q9" s="51"/>
      <c r="R9" s="7"/>
      <c r="S9" s="7"/>
      <c r="T9" s="7"/>
      <c r="U9" s="290"/>
      <c r="V9" s="290"/>
      <c r="W9" s="7"/>
      <c r="X9" s="7"/>
      <c r="Y9" s="7"/>
      <c r="Z9" s="7"/>
      <c r="AA9" s="7"/>
      <c r="AB9" s="50"/>
      <c r="AC9" s="51"/>
      <c r="AD9" s="7"/>
      <c r="AE9" s="7"/>
      <c r="AF9" s="7"/>
      <c r="AG9" s="7"/>
      <c r="AH9" s="7"/>
      <c r="AI9" s="7"/>
      <c r="AJ9" s="7"/>
      <c r="AK9" s="7"/>
      <c r="AL9" s="7"/>
      <c r="AM9" s="7"/>
      <c r="AN9" s="50"/>
      <c r="AO9" s="253">
        <f>Cashflow!P12</f>
        <v>13500000</v>
      </c>
      <c r="AP9" s="251">
        <f>Cashflow!AC12</f>
        <v>0</v>
      </c>
      <c r="AQ9" s="251">
        <f>Cashflow!AP12</f>
        <v>0</v>
      </c>
      <c r="AR9" s="252">
        <f t="shared" si="2"/>
        <v>13500000</v>
      </c>
      <c r="AS9" s="52" t="s">
        <v>69</v>
      </c>
      <c r="AT9" s="53"/>
      <c r="AU9" s="53"/>
      <c r="AV9" s="54" t="str">
        <f>Logframe!H7</f>
        <v>Ind 1.1.3. Data ground check 5 Lokasi</v>
      </c>
      <c r="AW9" s="55" t="str">
        <f>Logframe!I7</f>
        <v>MoV 1.1.3.  Dokumen Accuracy Assessment</v>
      </c>
      <c r="AX9" s="13" t="s">
        <v>42</v>
      </c>
      <c r="AY9" s="46" t="str">
        <f>Logframe!J7</f>
        <v>As.1.1.3. Lokasi ground check mudah dijangkau, tidak ada bencana alam</v>
      </c>
      <c r="AZ9" s="56" t="s">
        <v>71</v>
      </c>
      <c r="BA9" s="4"/>
      <c r="BB9" s="4"/>
      <c r="BC9" s="4"/>
    </row>
    <row r="10" spans="1:55" s="8" customFormat="1" ht="77.25" customHeight="1" x14ac:dyDescent="0.25">
      <c r="A10" s="7">
        <v>1</v>
      </c>
      <c r="B10" s="7">
        <v>1</v>
      </c>
      <c r="C10" s="7">
        <v>4</v>
      </c>
      <c r="D10" s="49" t="str">
        <f>Logframe!G8</f>
        <v>SK 1.1.4. Analisis tutupan hutan, penggunaan lahan dan potensi pemodelan PHBM di kawasan penyangga TNKS blok Bujang Raba</v>
      </c>
      <c r="E10" s="51"/>
      <c r="F10" s="7"/>
      <c r="G10" s="7"/>
      <c r="H10" s="7"/>
      <c r="I10" s="7"/>
      <c r="J10" s="7"/>
      <c r="K10" s="290"/>
      <c r="L10" s="290"/>
      <c r="M10" s="290"/>
      <c r="N10" s="7"/>
      <c r="O10" s="7"/>
      <c r="P10" s="50"/>
      <c r="Q10" s="51"/>
      <c r="R10" s="7"/>
      <c r="S10" s="7"/>
      <c r="T10" s="7"/>
      <c r="U10" s="7"/>
      <c r="V10" s="7"/>
      <c r="W10" s="290"/>
      <c r="X10" s="290"/>
      <c r="Y10" s="290"/>
      <c r="Z10" s="7"/>
      <c r="AA10" s="7"/>
      <c r="AB10" s="50"/>
      <c r="AC10" s="51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50"/>
      <c r="AO10" s="253">
        <f>Cashflow!P13</f>
        <v>6000000</v>
      </c>
      <c r="AP10" s="251">
        <f>Cashflow!AC13</f>
        <v>0</v>
      </c>
      <c r="AQ10" s="251">
        <f>Cashflow!AP13</f>
        <v>0</v>
      </c>
      <c r="AR10" s="252">
        <f t="shared" si="2"/>
        <v>6000000</v>
      </c>
      <c r="AS10" s="52" t="s">
        <v>232</v>
      </c>
      <c r="AT10" s="53"/>
      <c r="AU10" s="53"/>
      <c r="AV10" s="54" t="str">
        <f>Logframe!H8</f>
        <v>Ind 1.1.4. Hasil analisis 4 peta tematik: peta tutupan hutan,  penggunaan lahan, potensi koridor, dan potensi PHBM di kawasan penyangga TNKS blok Bujang Raba</v>
      </c>
      <c r="AW10" s="55" t="str">
        <f>Logframe!I8</f>
        <v>MoV 1.1.4. Dokumen 4 peta tematik: peta tutupan hutan,  penggunaan lahan, potensi koridor, dan potensi PHBM</v>
      </c>
      <c r="AX10" s="13" t="s">
        <v>247</v>
      </c>
      <c r="AY10" s="46" t="str">
        <f>Logframe!J8</f>
        <v>As.1.1.4. data hasil interpretasi dan data ground check valid</v>
      </c>
      <c r="AZ10" s="50" t="s">
        <v>71</v>
      </c>
      <c r="BA10" s="4"/>
      <c r="BB10" s="4"/>
      <c r="BC10" s="4"/>
    </row>
    <row r="11" spans="1:55" s="8" customFormat="1" ht="75" x14ac:dyDescent="0.25">
      <c r="A11" s="7">
        <v>1</v>
      </c>
      <c r="B11" s="7">
        <v>2</v>
      </c>
      <c r="C11" s="326" t="str">
        <f>Logframe!D9</f>
        <v>K 1.2.  Memetakan potensi 5 lokasi calon  PHBM di kawasan penyangga TNKS blok Bujang Raba</v>
      </c>
      <c r="D11" s="327"/>
      <c r="E11" s="51"/>
      <c r="F11" s="7"/>
      <c r="G11" s="7"/>
      <c r="H11" s="7"/>
      <c r="I11" s="7"/>
      <c r="J11" s="7"/>
      <c r="K11" s="7"/>
      <c r="L11" s="7"/>
      <c r="M11" s="7"/>
      <c r="N11" s="7"/>
      <c r="O11" s="7"/>
      <c r="P11" s="50"/>
      <c r="Q11" s="51"/>
      <c r="R11" s="7"/>
      <c r="S11" s="7"/>
      <c r="T11" s="7"/>
      <c r="U11" s="7"/>
      <c r="V11" s="7"/>
      <c r="W11" s="7"/>
      <c r="X11" s="7"/>
      <c r="Y11" s="7"/>
      <c r="Z11" s="7"/>
      <c r="AA11" s="7"/>
      <c r="AB11" s="50"/>
      <c r="AC11" s="51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50"/>
      <c r="AO11" s="253">
        <f>SUM(AO12)</f>
        <v>209750000</v>
      </c>
      <c r="AP11" s="253">
        <f t="shared" ref="AP11:AQ11" si="3">SUM(AP12)</f>
        <v>0</v>
      </c>
      <c r="AQ11" s="253">
        <f t="shared" si="3"/>
        <v>0</v>
      </c>
      <c r="AR11" s="250">
        <f t="shared" si="2"/>
        <v>209750000</v>
      </c>
      <c r="AS11" s="52" t="s">
        <v>72</v>
      </c>
      <c r="AT11" s="53"/>
      <c r="AU11" s="53"/>
      <c r="AV11" s="54" t="str">
        <f>Logframe!E9</f>
        <v>L 1.2. Tersedianya dan peta   potensi 5 lokasi calon  PHBM di kawasan penyangga TNKS blok Bujang Raba</v>
      </c>
      <c r="AW11" s="55"/>
      <c r="AX11" s="13"/>
      <c r="AY11" s="46"/>
      <c r="AZ11" s="50"/>
      <c r="BA11" s="4"/>
      <c r="BB11" s="4"/>
      <c r="BC11" s="4"/>
    </row>
    <row r="12" spans="1:55" s="8" customFormat="1" ht="105" x14ac:dyDescent="0.25">
      <c r="A12" s="7">
        <v>1</v>
      </c>
      <c r="B12" s="7">
        <v>2</v>
      </c>
      <c r="C12" s="7">
        <v>1</v>
      </c>
      <c r="D12" s="49" t="str">
        <f>Logframe!G9</f>
        <v>SK 1.2.1. Pemetaan partisipatif di 5 lokasi calon  PHBM di kawasan penyangga TNKS blok Bujang Raba</v>
      </c>
      <c r="E12" s="51"/>
      <c r="F12" s="7"/>
      <c r="G12" s="7"/>
      <c r="H12" s="7"/>
      <c r="I12" s="290"/>
      <c r="J12" s="290"/>
      <c r="L12" s="7"/>
      <c r="M12" s="7"/>
      <c r="N12" s="7"/>
      <c r="O12" s="7"/>
      <c r="P12" s="50"/>
      <c r="Q12" s="51"/>
      <c r="R12" s="7"/>
      <c r="S12" s="7"/>
      <c r="T12" s="7"/>
      <c r="U12" s="7"/>
      <c r="V12" s="7"/>
      <c r="W12" s="7"/>
      <c r="X12" s="7"/>
      <c r="Y12" s="7"/>
      <c r="Z12" s="7"/>
      <c r="AA12" s="7"/>
      <c r="AB12" s="50"/>
      <c r="AC12" s="51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50"/>
      <c r="AO12" s="253">
        <f>Cashflow!P15+Cashflow!P16</f>
        <v>209750000</v>
      </c>
      <c r="AP12" s="251">
        <f>Cashflow!AC15+Cashflow!AC16</f>
        <v>0</v>
      </c>
      <c r="AQ12" s="254">
        <f>Cashflow!AP15+Cashflow!AP16</f>
        <v>0</v>
      </c>
      <c r="AR12" s="252">
        <f t="shared" si="2"/>
        <v>209750000</v>
      </c>
      <c r="AS12" s="52" t="s">
        <v>233</v>
      </c>
      <c r="AT12" s="57"/>
      <c r="AU12" s="58"/>
      <c r="AV12" s="54" t="str">
        <f>Logframe!H9</f>
        <v>Ind 1.2.1. Tersedianya 4 peta tematik (tata guna lahan, batas wilayah kelola, potensi ) 5 lokasi calon  PHBM di   di kawasan penyangga TNKS blok Bujang Raba</v>
      </c>
      <c r="AW12" s="54" t="str">
        <f>Logframe!I9</f>
        <v>MoV 1.2.1. Peta tematik: peta tata guna lahan, peta batas wilyah kelola dan peta potensi</v>
      </c>
      <c r="AX12" s="13" t="s">
        <v>43</v>
      </c>
      <c r="AY12" s="46" t="str">
        <f>Logframe!J9</f>
        <v>As. 1.2.1. Masyarakat dan pemerintah setempat mendukung dan bersedia memberikan data / informasi</v>
      </c>
      <c r="AZ12" s="59" t="s">
        <v>81</v>
      </c>
      <c r="BA12" s="4"/>
      <c r="BB12" s="4"/>
      <c r="BC12" s="4"/>
    </row>
    <row r="13" spans="1:55" s="8" customFormat="1" ht="75" x14ac:dyDescent="0.25">
      <c r="A13" s="7">
        <v>1</v>
      </c>
      <c r="B13" s="7">
        <v>3</v>
      </c>
      <c r="C13" s="326" t="str">
        <f>Logframe!D10</f>
        <v xml:space="preserve">K. 1.3. Membangun baseline data sosial ekonomi dan biofisik  dengan melakukan PRA di 5 lokasi calon PHBM </v>
      </c>
      <c r="D13" s="327"/>
      <c r="E13" s="51"/>
      <c r="F13" s="7"/>
      <c r="G13" s="7"/>
      <c r="H13" s="7"/>
      <c r="I13" s="7"/>
      <c r="J13" s="7"/>
      <c r="K13" s="7"/>
      <c r="L13" s="7"/>
      <c r="M13" s="7"/>
      <c r="N13" s="7"/>
      <c r="O13" s="7"/>
      <c r="P13" s="50"/>
      <c r="Q13" s="51"/>
      <c r="R13" s="7"/>
      <c r="S13" s="7"/>
      <c r="T13" s="7"/>
      <c r="U13" s="7"/>
      <c r="V13" s="7"/>
      <c r="W13" s="7"/>
      <c r="X13" s="7"/>
      <c r="Y13" s="7"/>
      <c r="Z13" s="7"/>
      <c r="AA13" s="7"/>
      <c r="AB13" s="50"/>
      <c r="AC13" s="51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50"/>
      <c r="AO13" s="253">
        <f>SUM(AO14:AO15)</f>
        <v>135150000</v>
      </c>
      <c r="AP13" s="253">
        <f t="shared" ref="AP13:AQ13" si="4">SUM(AP14:AP15)</f>
        <v>0</v>
      </c>
      <c r="AQ13" s="253">
        <f t="shared" si="4"/>
        <v>0</v>
      </c>
      <c r="AR13" s="250">
        <f t="shared" si="2"/>
        <v>135150000</v>
      </c>
      <c r="AS13" s="52" t="s">
        <v>73</v>
      </c>
      <c r="AT13" s="57"/>
      <c r="AU13" s="58"/>
      <c r="AV13" s="54" t="str">
        <f>Logframe!E10</f>
        <v>L. 1.3. Tersedianya baseline data sosial ekonomi dan biofisik  dari hasil PRA di 5 lokasi calon PHBM</v>
      </c>
      <c r="AW13" s="55"/>
      <c r="AX13" s="13" t="s">
        <v>248</v>
      </c>
      <c r="AY13" s="46"/>
      <c r="AZ13" s="59"/>
      <c r="BA13" s="4"/>
      <c r="BB13" s="4"/>
      <c r="BC13" s="4"/>
    </row>
    <row r="14" spans="1:55" s="8" customFormat="1" ht="90" x14ac:dyDescent="0.25">
      <c r="A14" s="7">
        <v>1</v>
      </c>
      <c r="B14" s="7">
        <v>3</v>
      </c>
      <c r="C14" s="7">
        <v>1</v>
      </c>
      <c r="D14" s="49" t="str">
        <f>Logframe!G10</f>
        <v>SK 1.3.1. Pelaksanaan TOT Fasilitator lokal PRA  di 5 lokasi calon PHBM</v>
      </c>
      <c r="E14" s="51"/>
      <c r="G14" s="7"/>
      <c r="H14" s="290"/>
      <c r="I14" s="7"/>
      <c r="J14" s="7"/>
      <c r="K14" s="7"/>
      <c r="L14" s="7"/>
      <c r="M14" s="7"/>
      <c r="N14" s="7"/>
      <c r="O14" s="7"/>
      <c r="P14" s="50"/>
      <c r="Q14" s="51"/>
      <c r="R14" s="7"/>
      <c r="S14" s="7"/>
      <c r="T14" s="7"/>
      <c r="U14" s="7"/>
      <c r="V14" s="7"/>
      <c r="W14" s="7"/>
      <c r="X14" s="7"/>
      <c r="Y14" s="7"/>
      <c r="Z14" s="7"/>
      <c r="AA14" s="7"/>
      <c r="AB14" s="50"/>
      <c r="AC14" s="51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50"/>
      <c r="AO14" s="253">
        <f>Cashflow!P18</f>
        <v>42350000</v>
      </c>
      <c r="AP14" s="251">
        <f>Cashflow!AC18</f>
        <v>0</v>
      </c>
      <c r="AQ14" s="254">
        <f>Cashflow!AP18</f>
        <v>0</v>
      </c>
      <c r="AR14" s="252">
        <f t="shared" si="2"/>
        <v>42350000</v>
      </c>
      <c r="AS14" s="52" t="s">
        <v>235</v>
      </c>
      <c r="AT14" s="57"/>
      <c r="AU14" s="58"/>
      <c r="AV14" s="54" t="str">
        <f>Logframe!H10</f>
        <v>Ind 1.3.1.  Terlatih 10 orang fasilitator lokal yang  mampu memfasilitasi masyarakat untuk menerapkan metodologi PRA</v>
      </c>
      <c r="AW14" s="54" t="str">
        <f>Logframe!I10</f>
        <v>MoV 1.3.1. Modul pelatihan, hasil evaluasi pelatihan</v>
      </c>
      <c r="AX14" s="13" t="s">
        <v>249</v>
      </c>
      <c r="AY14" s="46" t="str">
        <f>Logframe!J10</f>
        <v>As.1.3.1. Ada masyarakat yang  bersedia dilatih menjadi fasilitator lokal</v>
      </c>
      <c r="AZ14" s="59" t="s">
        <v>82</v>
      </c>
      <c r="BA14" s="4"/>
      <c r="BB14" s="4"/>
      <c r="BC14" s="4"/>
    </row>
    <row r="15" spans="1:55" s="8" customFormat="1" ht="90" x14ac:dyDescent="0.25">
      <c r="A15" s="7">
        <v>1</v>
      </c>
      <c r="B15" s="10">
        <v>3</v>
      </c>
      <c r="C15" s="10">
        <v>2</v>
      </c>
      <c r="D15" s="49" t="str">
        <f>Logframe!G11</f>
        <v>SK 1.3.2. PRA di 5 desa calon lokasi PHBM tentang kondisi ekonomi dan biofisik</v>
      </c>
      <c r="E15" s="60"/>
      <c r="F15" s="10"/>
      <c r="G15" s="10"/>
      <c r="H15" s="10"/>
      <c r="I15" s="291"/>
      <c r="J15" s="291"/>
      <c r="K15" s="10"/>
      <c r="L15" s="10"/>
      <c r="M15" s="10"/>
      <c r="N15" s="10"/>
      <c r="O15" s="10"/>
      <c r="P15" s="61"/>
      <c r="Q15" s="6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1"/>
      <c r="AC15" s="6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61"/>
      <c r="AO15" s="253">
        <f>Cashflow!P19</f>
        <v>92800000</v>
      </c>
      <c r="AP15" s="251">
        <f>Cashflow!AC19</f>
        <v>0</v>
      </c>
      <c r="AQ15" s="254">
        <f>Cashflow!AP19</f>
        <v>0</v>
      </c>
      <c r="AR15" s="252">
        <f t="shared" si="2"/>
        <v>92800000</v>
      </c>
      <c r="AS15" s="62" t="s">
        <v>236</v>
      </c>
      <c r="AT15" s="63"/>
      <c r="AU15" s="63"/>
      <c r="AV15" s="54" t="str">
        <f>Logframe!H11</f>
        <v>Ind 1.3.2. Tersedianya baseline data sosial ekonomi dan biofisik  di 5 desa calon PHBM</v>
      </c>
      <c r="AW15" s="54" t="str">
        <f>Logframe!I11</f>
        <v>MoV 1.3.2. Dokumen baseline data 5 desa</v>
      </c>
      <c r="AX15" s="13" t="s">
        <v>44</v>
      </c>
      <c r="AY15" s="46" t="str">
        <f>Logframe!J11</f>
        <v>As.1.3.2. Masyarakat dan pemerintah setempat mendukung dan bersedia memberikan data / informasi</v>
      </c>
      <c r="AZ15" s="59" t="s">
        <v>83</v>
      </c>
      <c r="BA15" s="4"/>
      <c r="BB15" s="4"/>
      <c r="BC15" s="4"/>
    </row>
    <row r="16" spans="1:55" s="8" customFormat="1" ht="105" x14ac:dyDescent="0.25">
      <c r="A16" s="7">
        <v>1</v>
      </c>
      <c r="B16" s="10">
        <v>4</v>
      </c>
      <c r="C16" s="324" t="str">
        <f>Logframe!D12</f>
        <v>K 1.4.  Pengajuan usulan integrasi PHBM ke dalam dokumen Dokumen Rencana Kerja Dinas  Kehutanan Kabupaten Bungo</v>
      </c>
      <c r="D16" s="325"/>
      <c r="E16" s="6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61"/>
      <c r="Q16" s="6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61"/>
      <c r="AC16" s="6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61"/>
      <c r="AO16" s="253">
        <f>SUM(AO17:AO20)</f>
        <v>50750000</v>
      </c>
      <c r="AP16" s="253">
        <f t="shared" ref="AP16:AQ16" si="5">SUM(AP17:AP20)</f>
        <v>59700000</v>
      </c>
      <c r="AQ16" s="253">
        <f t="shared" si="5"/>
        <v>0</v>
      </c>
      <c r="AR16" s="250">
        <f t="shared" si="2"/>
        <v>110450000</v>
      </c>
      <c r="AS16" s="62" t="s">
        <v>237</v>
      </c>
      <c r="AT16" s="64" t="s">
        <v>238</v>
      </c>
      <c r="AU16" s="64"/>
      <c r="AV16" s="54" t="str">
        <f>Logframe!E12</f>
        <v>L 1.4. Inisiatif PHBM di kawasan penyangga TNKS Blok Bujang Raba diakomodir dalam Dokumen Rencana Kerja Dinas  Kehutanan Kabupaten Bungo</v>
      </c>
      <c r="AW16" s="55"/>
      <c r="AX16" s="13" t="s">
        <v>250</v>
      </c>
      <c r="AZ16" s="59"/>
      <c r="BA16" s="4"/>
      <c r="BB16" s="4"/>
      <c r="BC16" s="4"/>
    </row>
    <row r="17" spans="1:55" s="8" customFormat="1" ht="60" x14ac:dyDescent="0.25">
      <c r="A17" s="7">
        <v>1</v>
      </c>
      <c r="B17" s="10">
        <v>4</v>
      </c>
      <c r="C17" s="10">
        <v>1</v>
      </c>
      <c r="D17" s="49" t="str">
        <f>Logframe!G12</f>
        <v>SK.1.4.1. Menyusun dokumen usulan integrasi 5 lokasi calon PHBM ke dalam rencana Kerja Dinhut Kab. Bungo</v>
      </c>
      <c r="E17" s="60"/>
      <c r="F17" s="10"/>
      <c r="G17" s="10"/>
      <c r="H17" s="10"/>
      <c r="I17" s="10"/>
      <c r="J17" s="10"/>
      <c r="K17" s="10"/>
      <c r="L17" s="10"/>
      <c r="M17" s="291"/>
      <c r="O17" s="10"/>
      <c r="P17" s="61"/>
      <c r="Q17" s="6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61"/>
      <c r="AC17" s="6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61"/>
      <c r="AO17" s="253">
        <f>Cashflow!P21</f>
        <v>13650000</v>
      </c>
      <c r="AP17" s="251">
        <f>Cashflow!AC21</f>
        <v>0</v>
      </c>
      <c r="AQ17" s="254">
        <f>Cashflow!AP21</f>
        <v>0</v>
      </c>
      <c r="AR17" s="252">
        <f t="shared" si="2"/>
        <v>13650000</v>
      </c>
      <c r="AS17" s="62" t="s">
        <v>239</v>
      </c>
      <c r="AT17" s="64"/>
      <c r="AU17" s="64"/>
      <c r="AV17" s="54" t="str">
        <f>Logframe!H12</f>
        <v>Ind 1.4.1. Dokumen usulan integrasi 5 calon PHBM</v>
      </c>
      <c r="AW17" s="54" t="str">
        <f>Logframe!I12</f>
        <v>MoV 1.4.1. Dokumen usulan integrasi PHBM</v>
      </c>
      <c r="AX17" s="13"/>
      <c r="AY17" s="46" t="str">
        <f>Logframe!J12</f>
        <v>As.1.4.1. Dinhut Kab Bungo bersedia melakukan integrasi program kehutanan</v>
      </c>
      <c r="AZ17" s="59" t="s">
        <v>246</v>
      </c>
      <c r="BA17" s="4"/>
      <c r="BB17" s="4"/>
      <c r="BC17" s="4"/>
    </row>
    <row r="18" spans="1:55" s="8" customFormat="1" ht="120" x14ac:dyDescent="0.25">
      <c r="A18" s="7">
        <v>1</v>
      </c>
      <c r="B18" s="10">
        <v>4</v>
      </c>
      <c r="C18" s="10">
        <v>2</v>
      </c>
      <c r="D18" s="49" t="str">
        <f>Logframe!G13</f>
        <v>SK 1.4.2. Serial pertemuan pembahasan usulan  integrasi 5 lokasi calon PHBM ke dalam rencana Kerja Dinhut Kab. Bungo</v>
      </c>
      <c r="E18" s="60"/>
      <c r="F18" s="10"/>
      <c r="G18" s="10"/>
      <c r="H18" s="10"/>
      <c r="I18" s="10"/>
      <c r="J18" s="10"/>
      <c r="K18" s="10"/>
      <c r="L18" s="10"/>
      <c r="M18" s="10"/>
      <c r="N18" s="291"/>
      <c r="O18" s="291"/>
      <c r="P18" s="61"/>
      <c r="Q18" s="6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61"/>
      <c r="AC18" s="6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61"/>
      <c r="AO18" s="253">
        <f>Cashflow!P22</f>
        <v>12100000</v>
      </c>
      <c r="AP18" s="251">
        <f>Cashflow!AC22</f>
        <v>0</v>
      </c>
      <c r="AQ18" s="254">
        <f>Cashflow!AP22</f>
        <v>0</v>
      </c>
      <c r="AR18" s="252">
        <f t="shared" si="2"/>
        <v>12100000</v>
      </c>
      <c r="AS18" s="62" t="s">
        <v>240</v>
      </c>
      <c r="AT18" s="63"/>
      <c r="AU18" s="63"/>
      <c r="AV18" s="54" t="str">
        <f>Logframe!H13</f>
        <v>Ind 1.4.2. Draft Dokumen kerangka program bidang kehutanan  Dinas Kehutanan Kab. Bungo yang mengakomodasi usulan integrasi 5 calon PHBM</v>
      </c>
      <c r="AW18" s="54" t="str">
        <f>Logframe!I13</f>
        <v>MoV 1.4.2. Berita acara serah terima dokumen, draft dokumen dan dokumen final kerangka program bidang kehutanan yang mengakomodasi usulan integrasi PHBM</v>
      </c>
      <c r="AX18" s="13"/>
      <c r="AY18" s="46" t="str">
        <f>Logframe!J13</f>
        <v>As.1.4.2. Dinhut Kab Bungo bersedia melakukan integrasi program kehutanan</v>
      </c>
      <c r="AZ18" s="59" t="s">
        <v>246</v>
      </c>
      <c r="BA18" s="4"/>
      <c r="BB18" s="4"/>
      <c r="BC18" s="4"/>
    </row>
    <row r="19" spans="1:55" s="8" customFormat="1" ht="120" x14ac:dyDescent="0.25">
      <c r="A19" s="7">
        <v>1</v>
      </c>
      <c r="B19" s="10">
        <v>4</v>
      </c>
      <c r="C19" s="10">
        <v>3</v>
      </c>
      <c r="D19" s="49" t="str">
        <f>Logframe!G14</f>
        <v>SK 1.4.3. Pengawalan Pengesahan dokumen kerangka program bidang kehutanan Kab Bungo yang mengakomodasi kegiatan di 5 lokasi calon PHBM</v>
      </c>
      <c r="E19" s="6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295"/>
      <c r="Q19" s="296"/>
      <c r="R19" s="292"/>
      <c r="S19" s="10"/>
      <c r="T19" s="10"/>
      <c r="U19" s="10"/>
      <c r="V19" s="10"/>
      <c r="W19" s="10"/>
      <c r="X19" s="10"/>
      <c r="Y19" s="10"/>
      <c r="Z19" s="10"/>
      <c r="AA19" s="10"/>
      <c r="AB19" s="61"/>
      <c r="AC19" s="6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61"/>
      <c r="AO19" s="253">
        <f>Cashflow!P23</f>
        <v>25000000</v>
      </c>
      <c r="AP19" s="251">
        <f>Cashflow!AC23</f>
        <v>50700000</v>
      </c>
      <c r="AQ19" s="254">
        <f>Cashflow!AP23</f>
        <v>0</v>
      </c>
      <c r="AR19" s="252">
        <f t="shared" si="2"/>
        <v>75700000</v>
      </c>
      <c r="AS19" s="62"/>
      <c r="AT19" s="64" t="s">
        <v>241</v>
      </c>
      <c r="AU19" s="64"/>
      <c r="AV19" s="54" t="str">
        <f>Logframe!H14</f>
        <v>Ind 1.4.3. Dokumen kerangka program bidang kehutanan  yang disahkan oleh Kepala Dinas Kab. Bungo telah mengakomodasi kegiatan di 5 lokasi calon PHBM</v>
      </c>
      <c r="AW19" s="54" t="str">
        <f>Logframe!I14</f>
        <v>Mov 1.4.3. Dokumen kerangka program bidang kehutanan yang mengakomodasi usulan integrasi PHBM yang disahkan oleh Kepala Dinas Kehutanan Kab. Bungo</v>
      </c>
      <c r="AX19" s="13"/>
      <c r="AY19" s="46" t="str">
        <f>Logframe!J14</f>
        <v>As.1.4.3. Dinhut Kab Bungo bersedia melakukan integrasi program kehutanan</v>
      </c>
      <c r="AZ19" s="59" t="s">
        <v>246</v>
      </c>
      <c r="BA19" s="4"/>
      <c r="BB19" s="4"/>
      <c r="BC19" s="4"/>
    </row>
    <row r="20" spans="1:55" s="8" customFormat="1" ht="105" x14ac:dyDescent="0.25">
      <c r="A20" s="7">
        <v>1</v>
      </c>
      <c r="B20" s="10">
        <v>4</v>
      </c>
      <c r="C20" s="10">
        <v>4</v>
      </c>
      <c r="D20" s="49" t="str">
        <f>Logframe!G15</f>
        <v>SK 1.4.4. Mengawal proses penyusunan anggaran kerja tahunan Dinas Kehutanan Kab. Bungo</v>
      </c>
      <c r="E20" s="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61"/>
      <c r="Q20" s="60"/>
      <c r="S20" s="291"/>
      <c r="T20" s="291"/>
      <c r="U20" s="291"/>
      <c r="V20" s="10"/>
      <c r="W20" s="10"/>
      <c r="X20" s="10"/>
      <c r="Y20" s="10"/>
      <c r="Z20" s="10"/>
      <c r="AA20" s="10"/>
      <c r="AB20" s="61"/>
      <c r="AC20" s="6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61"/>
      <c r="AO20" s="253">
        <f>Cashflow!P24</f>
        <v>0</v>
      </c>
      <c r="AP20" s="251">
        <f>Cashflow!AC24</f>
        <v>9000000</v>
      </c>
      <c r="AQ20" s="254">
        <f>Cashflow!AP24</f>
        <v>0</v>
      </c>
      <c r="AR20" s="252">
        <f t="shared" si="2"/>
        <v>9000000</v>
      </c>
      <c r="AS20" s="62"/>
      <c r="AT20" s="64" t="s">
        <v>242</v>
      </c>
      <c r="AU20" s="64"/>
      <c r="AV20" s="54" t="str">
        <f>Logframe!H15</f>
        <v>Ind 1.4.4. Anggaran kerja tahunan Dinas Kehutanan Kab. Bungo  yang mengakomodasi usulan integrasi 5 calon PHBM</v>
      </c>
      <c r="AW20" s="54" t="str">
        <f>Logframe!I15</f>
        <v>MoV 1.4.4 Dokumen anggaran kerja tahunan Dinas Kehutanan Kab. Bungo</v>
      </c>
      <c r="AX20" s="13"/>
      <c r="AY20" s="46" t="str">
        <f>Logframe!J15</f>
        <v>As.1.4.4. DPRD bersedia menyetujui dan mengesahkan anggaran</v>
      </c>
      <c r="AZ20" s="59" t="s">
        <v>246</v>
      </c>
      <c r="BA20" s="4"/>
      <c r="BB20" s="4"/>
      <c r="BC20" s="4"/>
    </row>
    <row r="21" spans="1:55" s="8" customFormat="1" ht="18" customHeight="1" x14ac:dyDescent="0.25">
      <c r="A21" s="10"/>
      <c r="B21" s="10"/>
      <c r="C21" s="65"/>
      <c r="D21" s="66"/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  <c r="Q21" s="149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1"/>
      <c r="AC21" s="149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1"/>
      <c r="AO21" s="255"/>
      <c r="AP21" s="251"/>
      <c r="AQ21" s="256"/>
      <c r="AR21" s="252"/>
      <c r="AS21" s="62"/>
      <c r="AT21" s="64"/>
      <c r="AU21" s="64"/>
      <c r="AV21" s="54"/>
      <c r="AW21" s="55"/>
      <c r="AX21" s="13"/>
      <c r="AY21" s="46"/>
      <c r="AZ21" s="59"/>
      <c r="BA21" s="4"/>
      <c r="BB21" s="4"/>
      <c r="BC21" s="4"/>
    </row>
    <row r="22" spans="1:55" s="8" customFormat="1" ht="36.75" customHeight="1" x14ac:dyDescent="0.25">
      <c r="A22" s="10"/>
      <c r="B22" s="322" t="str">
        <f>Logframe!B16</f>
        <v xml:space="preserve">Komponen 2. </v>
      </c>
      <c r="C22" s="323"/>
      <c r="D22" s="323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257" t="e">
        <f>#REF!+#REF!+#REF!</f>
        <v>#REF!</v>
      </c>
      <c r="AP22" s="258" t="e">
        <f>#REF!+#REF!+#REF!</f>
        <v>#REF!</v>
      </c>
      <c r="AQ22" s="258" t="e">
        <f>#REF!+#REF!+#REF!</f>
        <v>#REF!</v>
      </c>
      <c r="AR22" s="248"/>
      <c r="AS22" s="67"/>
      <c r="AT22" s="68"/>
      <c r="AU22" s="68"/>
      <c r="AV22" s="69"/>
      <c r="AW22" s="70"/>
      <c r="AX22" s="15"/>
      <c r="AY22" s="15"/>
      <c r="AZ22" s="71"/>
      <c r="BA22" s="4"/>
      <c r="BB22" s="4"/>
      <c r="BC22" s="4"/>
    </row>
    <row r="23" spans="1:55" x14ac:dyDescent="0.25">
      <c r="D23" s="9" t="s">
        <v>267</v>
      </c>
    </row>
    <row r="25" spans="1:55" s="8" customFormat="1" ht="36.75" customHeight="1" x14ac:dyDescent="0.25">
      <c r="A25" s="10"/>
      <c r="B25" s="322" t="str">
        <f>Logframe!B29</f>
        <v>Komponen 3.</v>
      </c>
      <c r="C25" s="323"/>
      <c r="D25" s="323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257" t="e">
        <f>#REF!+#REF!+#REF!</f>
        <v>#REF!</v>
      </c>
      <c r="AP25" s="258" t="e">
        <f>#REF!+#REF!+#REF!</f>
        <v>#REF!</v>
      </c>
      <c r="AQ25" s="258" t="e">
        <f>#REF!+#REF!+#REF!</f>
        <v>#REF!</v>
      </c>
      <c r="AR25" s="248"/>
      <c r="AS25" s="67"/>
      <c r="AT25" s="68"/>
      <c r="AU25" s="68"/>
      <c r="AV25" s="69"/>
      <c r="AW25" s="70"/>
      <c r="AX25" s="15"/>
      <c r="AY25" s="15"/>
      <c r="AZ25" s="71"/>
      <c r="BA25" s="4"/>
      <c r="BB25" s="4"/>
      <c r="BC25" s="4"/>
    </row>
    <row r="26" spans="1:55" x14ac:dyDescent="0.25">
      <c r="D26" s="9" t="s">
        <v>267</v>
      </c>
    </row>
  </sheetData>
  <mergeCells count="40">
    <mergeCell ref="AF25:AH25"/>
    <mergeCell ref="AI25:AK25"/>
    <mergeCell ref="AL25:AN25"/>
    <mergeCell ref="Q25:S25"/>
    <mergeCell ref="T25:V25"/>
    <mergeCell ref="W25:Y25"/>
    <mergeCell ref="Z25:AB25"/>
    <mergeCell ref="AC25:AE25"/>
    <mergeCell ref="B25:D25"/>
    <mergeCell ref="E25:G25"/>
    <mergeCell ref="H25:J25"/>
    <mergeCell ref="K25:M25"/>
    <mergeCell ref="N25:P25"/>
    <mergeCell ref="AC22:AE22"/>
    <mergeCell ref="AF22:AH22"/>
    <mergeCell ref="AI22:AK22"/>
    <mergeCell ref="AL22:AN22"/>
    <mergeCell ref="AZ2:AZ3"/>
    <mergeCell ref="AO2:AR2"/>
    <mergeCell ref="AW2:AW3"/>
    <mergeCell ref="AS2:AV2"/>
    <mergeCell ref="C16:D16"/>
    <mergeCell ref="C11:D11"/>
    <mergeCell ref="C13:D13"/>
    <mergeCell ref="Q2:AB2"/>
    <mergeCell ref="AC2:AN2"/>
    <mergeCell ref="C6:D6"/>
    <mergeCell ref="D2:D3"/>
    <mergeCell ref="E2:P2"/>
    <mergeCell ref="A4:D4"/>
    <mergeCell ref="B5:D5"/>
    <mergeCell ref="Q22:S22"/>
    <mergeCell ref="T22:V22"/>
    <mergeCell ref="W22:Y22"/>
    <mergeCell ref="Z22:AB22"/>
    <mergeCell ref="B22:D22"/>
    <mergeCell ref="E22:G22"/>
    <mergeCell ref="H22:J22"/>
    <mergeCell ref="K22:M22"/>
    <mergeCell ref="N22:P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5" zoomScaleNormal="85" workbookViewId="0">
      <selection activeCell="A17" sqref="A17"/>
    </sheetView>
  </sheetViews>
  <sheetFormatPr defaultRowHeight="15" x14ac:dyDescent="0.25"/>
  <cols>
    <col min="1" max="1" width="26" style="1" customWidth="1"/>
    <col min="2" max="2" width="30" style="1" customWidth="1"/>
    <col min="3" max="3" width="21.140625" style="1" customWidth="1"/>
    <col min="4" max="4" width="21.42578125" style="1" customWidth="1"/>
    <col min="5" max="5" width="25.5703125" style="1" customWidth="1"/>
    <col min="6" max="6" width="20.140625" style="1" customWidth="1"/>
    <col min="7" max="7" width="21.5703125" style="1" customWidth="1"/>
    <col min="8" max="8" width="20.7109375" style="1" customWidth="1"/>
    <col min="9" max="9" width="22.42578125" style="1" customWidth="1"/>
    <col min="10" max="16384" width="9.140625" style="1"/>
  </cols>
  <sheetData>
    <row r="1" spans="1:9" x14ac:dyDescent="0.25">
      <c r="A1" s="99" t="s">
        <v>87</v>
      </c>
    </row>
    <row r="2" spans="1:9" s="2" customFormat="1" ht="35.25" customHeight="1" x14ac:dyDescent="0.25">
      <c r="A2" s="348" t="s">
        <v>0</v>
      </c>
      <c r="B2" s="348" t="s">
        <v>20</v>
      </c>
      <c r="C2" s="348" t="s">
        <v>1</v>
      </c>
      <c r="D2" s="348" t="s">
        <v>2</v>
      </c>
      <c r="E2" s="348"/>
      <c r="F2" s="348" t="s">
        <v>3</v>
      </c>
      <c r="G2" s="348"/>
      <c r="H2" s="348" t="s">
        <v>4</v>
      </c>
      <c r="I2" s="348"/>
    </row>
    <row r="3" spans="1:9" s="2" customFormat="1" x14ac:dyDescent="0.25">
      <c r="A3" s="348"/>
      <c r="B3" s="348"/>
      <c r="C3" s="348"/>
      <c r="D3" s="16" t="s">
        <v>5</v>
      </c>
      <c r="E3" s="16" t="s">
        <v>6</v>
      </c>
      <c r="F3" s="16" t="s">
        <v>5</v>
      </c>
      <c r="G3" s="16" t="s">
        <v>6</v>
      </c>
      <c r="H3" s="16" t="s">
        <v>5</v>
      </c>
      <c r="I3" s="16" t="s">
        <v>6</v>
      </c>
    </row>
    <row r="4" spans="1:9" s="294" customFormat="1" x14ac:dyDescent="0.25">
      <c r="A4" s="293"/>
      <c r="B4" s="293"/>
      <c r="C4" s="293"/>
      <c r="D4" s="293"/>
      <c r="E4" s="293"/>
      <c r="F4" s="293"/>
      <c r="G4" s="293"/>
      <c r="H4" s="293"/>
      <c r="I4" s="293"/>
    </row>
    <row r="5" spans="1:9" ht="45.75" customHeight="1" x14ac:dyDescent="0.25">
      <c r="A5" s="18"/>
      <c r="B5" s="18"/>
      <c r="C5" s="18"/>
      <c r="D5" s="18" t="s">
        <v>24</v>
      </c>
      <c r="E5" s="18" t="s">
        <v>27</v>
      </c>
      <c r="F5" s="144" t="s">
        <v>25</v>
      </c>
      <c r="G5" s="144" t="s">
        <v>28</v>
      </c>
      <c r="H5" s="144" t="s">
        <v>26</v>
      </c>
      <c r="I5" s="144" t="s">
        <v>29</v>
      </c>
    </row>
    <row r="6" spans="1:9" x14ac:dyDescent="0.25">
      <c r="A6" s="144"/>
      <c r="B6" s="144"/>
      <c r="C6" s="144"/>
      <c r="D6" s="144"/>
      <c r="E6" s="144"/>
      <c r="F6" s="144"/>
      <c r="G6" s="144"/>
      <c r="H6" s="144"/>
      <c r="I6" s="144"/>
    </row>
    <row r="7" spans="1:9" x14ac:dyDescent="0.25">
      <c r="A7" s="145" t="str">
        <f>Logframe!B4</f>
        <v>Komponen 1. Pemetaan potensi koridor habitat dan sinkronisasi kebijakan pembangunan kehutanan di kawasan penyangga TNKS Blok Bujang Raba</v>
      </c>
      <c r="B7" s="17"/>
      <c r="C7" s="18"/>
      <c r="D7" s="18"/>
      <c r="E7" s="18"/>
      <c r="F7" s="18"/>
      <c r="G7" s="18"/>
      <c r="H7" s="18"/>
      <c r="I7" s="18"/>
    </row>
    <row r="8" spans="1:9" ht="120" x14ac:dyDescent="0.25">
      <c r="A8" s="18" t="str">
        <f>Logframe!D5</f>
        <v>K 1.1. Mengidentifikasi kondisi tutupan hutan, penggunaan lahan,  potensi koridor dan potensi PHBM dengan melakukan pemetaan dan analisis spasial  di kawasan penyangga TNKS blok Bujang Raba</v>
      </c>
      <c r="B8" s="19" t="str">
        <f>Logframe!E5</f>
        <v>L 1.1. Dihasilkannya peta kondisi tutupan hutan, penggunaan lahan,  potensi koridor dan potensi PHBM  di kawasan penyangga TNKS blok Bujang Raba</v>
      </c>
      <c r="C8" s="18" t="s">
        <v>259</v>
      </c>
      <c r="D8" s="18" t="str">
        <f>Workplan!AS6</f>
        <v>Dihasilkannya 1 set peta (4 peta tematik) kondisi tutupan hutan, penggunaan lahan, potensi koridor, dan potensi PHBM</v>
      </c>
      <c r="E8" s="18" t="s">
        <v>260</v>
      </c>
      <c r="F8" s="18"/>
      <c r="G8" s="18"/>
      <c r="H8" s="18"/>
      <c r="I8" s="18"/>
    </row>
    <row r="9" spans="1:9" ht="45" customHeight="1" x14ac:dyDescent="0.25">
      <c r="A9" s="18" t="str">
        <f>Logframe!D9</f>
        <v>K 1.2.  Memetakan potensi 5 lokasi calon  PHBM di kawasan penyangga TNKS blok Bujang Raba</v>
      </c>
      <c r="B9" s="18" t="str">
        <f>Logframe!E9</f>
        <v>L 1.2. Tersedianya dan peta   potensi 5 lokasi calon  PHBM di kawasan penyangga TNKS blok Bujang Raba</v>
      </c>
      <c r="C9" s="18" t="s">
        <v>252</v>
      </c>
      <c r="D9" s="18" t="str">
        <f>Workplan!AS11</f>
        <v>Peta wilayah kelola  5 calon lokasi PHBM</v>
      </c>
      <c r="E9" s="18"/>
      <c r="F9" s="18"/>
      <c r="G9" s="18"/>
      <c r="H9" s="18"/>
      <c r="I9" s="18"/>
    </row>
    <row r="10" spans="1:9" ht="30" customHeight="1" x14ac:dyDescent="0.25">
      <c r="A10" s="17" t="str">
        <f>Logframe!D10</f>
        <v xml:space="preserve">K. 1.3. Membangun baseline data sosial ekonomi dan biofisik  dengan melakukan PRA di 5 lokasi calon PHBM </v>
      </c>
      <c r="B10" s="18" t="str">
        <f>Logframe!E10</f>
        <v>L. 1.3. Tersedianya baseline data sosial ekonomi dan biofisik  dari hasil PRA di 5 lokasi calon PHBM</v>
      </c>
      <c r="C10" s="18" t="s">
        <v>251</v>
      </c>
      <c r="D10" s="18" t="str">
        <f>Workplan!AS13</f>
        <v>Baseline data sosial ekonomi dan biofisik di 5 lokasi</v>
      </c>
      <c r="E10" s="18"/>
      <c r="F10" s="18"/>
      <c r="G10" s="18"/>
      <c r="H10" s="18"/>
      <c r="I10" s="18"/>
    </row>
    <row r="11" spans="1:9" ht="46.5" customHeight="1" x14ac:dyDescent="0.25">
      <c r="A11" s="18" t="str">
        <f>Logframe!D12</f>
        <v>K 1.4.  Pengajuan usulan integrasi PHBM ke dalam dokumen Dokumen Rencana Kerja Dinas  Kehutanan Kabupaten Bungo</v>
      </c>
      <c r="B11" s="18" t="str">
        <f>Logframe!E12</f>
        <v>L 1.4. Inisiatif PHBM di kawasan penyangga TNKS Blok Bujang Raba diakomodir dalam Dokumen Rencana Kerja Dinas  Kehutanan Kabupaten Bungo</v>
      </c>
      <c r="C11" s="18" t="s">
        <v>252</v>
      </c>
      <c r="D11" s="18" t="str">
        <f>Workplan!AS16</f>
        <v>Usulan integrasi 5 PHBM ke dalam Rencana Kerja Dinhut Kab. Bungo</v>
      </c>
      <c r="E11" s="18"/>
      <c r="F11" s="18" t="str">
        <f>Workplan!AT16</f>
        <v>5 PHBM dalam Koridor TNBBS-TNKS diakomodir dalam Dokumen Rencana Kerja Dinas  Kehutanan Kab. Bungo</v>
      </c>
      <c r="G11" s="18"/>
      <c r="H11" s="18"/>
      <c r="I11" s="18"/>
    </row>
    <row r="12" spans="1:9" x14ac:dyDescent="0.25">
      <c r="A12" s="18"/>
      <c r="B12" s="347"/>
      <c r="C12" s="347"/>
      <c r="D12" s="347"/>
      <c r="E12" s="347"/>
      <c r="F12" s="347"/>
      <c r="G12" s="347"/>
      <c r="H12" s="347"/>
      <c r="I12" s="347"/>
    </row>
    <row r="13" spans="1:9" x14ac:dyDescent="0.25">
      <c r="A13" s="1" t="str">
        <f>Logframe!B16</f>
        <v xml:space="preserve">Komponen 2. </v>
      </c>
    </row>
    <row r="14" spans="1:9" x14ac:dyDescent="0.25">
      <c r="A14" s="18" t="s">
        <v>266</v>
      </c>
      <c r="B14" s="18"/>
      <c r="C14" s="18"/>
      <c r="D14" s="18"/>
      <c r="E14" s="18"/>
      <c r="F14" s="18"/>
      <c r="G14" s="18"/>
      <c r="H14" s="18"/>
      <c r="I14" s="18"/>
    </row>
    <row r="16" spans="1:9" x14ac:dyDescent="0.25">
      <c r="A16" s="1" t="str">
        <f>Logframe!B29</f>
        <v>Komponen 3.</v>
      </c>
    </row>
    <row r="17" spans="1:9" x14ac:dyDescent="0.25">
      <c r="A17" s="297" t="s">
        <v>266</v>
      </c>
      <c r="B17" s="297"/>
      <c r="C17" s="297"/>
      <c r="D17" s="297"/>
      <c r="E17" s="297"/>
      <c r="F17" s="297"/>
      <c r="G17" s="297"/>
      <c r="H17" s="297"/>
      <c r="I17" s="297"/>
    </row>
  </sheetData>
  <mergeCells count="7">
    <mergeCell ref="B12:I12"/>
    <mergeCell ref="H2:I2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zoomScale="90" zoomScaleNormal="9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F69" sqref="F69"/>
    </sheetView>
  </sheetViews>
  <sheetFormatPr defaultRowHeight="15" x14ac:dyDescent="0.25"/>
  <cols>
    <col min="1" max="1" width="9.42578125" style="131" customWidth="1"/>
    <col min="2" max="2" width="90.7109375" style="131" customWidth="1"/>
    <col min="3" max="3" width="25" style="131" customWidth="1"/>
    <col min="4" max="4" width="6.140625" style="131" bestFit="1" customWidth="1"/>
    <col min="5" max="5" width="14.85546875" style="133" customWidth="1"/>
    <col min="6" max="6" width="15.140625" style="131" customWidth="1"/>
    <col min="7" max="7" width="12.28515625" style="134" bestFit="1" customWidth="1"/>
    <col min="8" max="8" width="17" style="131" customWidth="1"/>
    <col min="9" max="9" width="15.140625" style="131" customWidth="1"/>
    <col min="10" max="10" width="18.7109375" style="131" customWidth="1"/>
    <col min="11" max="11" width="17.5703125" style="131" customWidth="1"/>
    <col min="12" max="16384" width="9.140625" style="131"/>
  </cols>
  <sheetData>
    <row r="1" spans="1:11" ht="18.75" x14ac:dyDescent="0.25">
      <c r="A1" s="72" t="s">
        <v>88</v>
      </c>
      <c r="B1" s="73"/>
      <c r="C1" s="74"/>
      <c r="D1" s="75"/>
      <c r="E1" s="76"/>
      <c r="F1" s="74"/>
      <c r="G1" s="77"/>
      <c r="H1" s="74"/>
      <c r="I1" s="74"/>
    </row>
    <row r="2" spans="1:11" ht="14.25" customHeight="1" x14ac:dyDescent="0.25">
      <c r="A2" s="78"/>
      <c r="B2" s="73"/>
      <c r="C2" s="74"/>
      <c r="D2" s="75"/>
      <c r="E2" s="76"/>
      <c r="F2" s="74"/>
      <c r="G2" s="77"/>
      <c r="H2" s="74"/>
      <c r="I2" s="74"/>
    </row>
    <row r="3" spans="1:11" ht="31.5" x14ac:dyDescent="0.25">
      <c r="A3" s="351" t="s">
        <v>30</v>
      </c>
      <c r="B3" s="351"/>
      <c r="C3" s="80" t="s">
        <v>31</v>
      </c>
      <c r="D3" s="79" t="s">
        <v>32</v>
      </c>
      <c r="E3" s="79" t="s">
        <v>45</v>
      </c>
      <c r="F3" s="80" t="s">
        <v>39</v>
      </c>
      <c r="G3" s="81" t="s">
        <v>46</v>
      </c>
      <c r="H3" s="80" t="s">
        <v>47</v>
      </c>
      <c r="I3" s="80" t="s">
        <v>48</v>
      </c>
      <c r="J3" s="80" t="s">
        <v>77</v>
      </c>
      <c r="K3" s="80" t="s">
        <v>76</v>
      </c>
    </row>
    <row r="4" spans="1:11" s="137" customFormat="1" ht="18" customHeight="1" x14ac:dyDescent="0.25">
      <c r="A4" s="352" t="s">
        <v>49</v>
      </c>
      <c r="B4" s="352"/>
      <c r="C4" s="128"/>
      <c r="D4" s="129"/>
      <c r="E4" s="129"/>
      <c r="F4" s="128"/>
      <c r="G4" s="130"/>
      <c r="H4" s="128"/>
      <c r="I4" s="128"/>
      <c r="J4" s="128"/>
      <c r="K4" s="136"/>
    </row>
    <row r="5" spans="1:11" s="139" customFormat="1" ht="52.5" customHeight="1" x14ac:dyDescent="0.2">
      <c r="A5" s="135"/>
      <c r="B5" s="262" t="str">
        <f>Logframe!B4</f>
        <v>Komponen 1. Pemetaan potensi koridor habitat dan sinkronisasi kebijakan pembangunan kehutanan di kawasan penyangga TNKS Blok Bujang Raba</v>
      </c>
      <c r="C5" s="262"/>
      <c r="D5" s="262"/>
      <c r="E5" s="262"/>
      <c r="F5" s="262"/>
      <c r="G5" s="262"/>
      <c r="H5" s="262"/>
      <c r="I5" s="262"/>
      <c r="J5" s="262"/>
      <c r="K5" s="138"/>
    </row>
    <row r="6" spans="1:11" s="139" customFormat="1" ht="50.25" customHeight="1" x14ac:dyDescent="0.2">
      <c r="A6" s="269" t="s">
        <v>113</v>
      </c>
      <c r="B6" s="263" t="str">
        <f>Logframe!D5</f>
        <v>K 1.1. Mengidentifikasi kondisi tutupan hutan, penggunaan lahan,  potensi koridor dan potensi PHBM dengan melakukan pemetaan dan analisis spasial  di kawasan penyangga TNKS blok Bujang Raba</v>
      </c>
      <c r="C6" s="263"/>
      <c r="D6" s="263"/>
      <c r="E6" s="263"/>
      <c r="F6" s="263"/>
      <c r="G6" s="263"/>
      <c r="H6" s="270"/>
      <c r="I6" s="263"/>
      <c r="J6" s="263"/>
      <c r="K6" s="135"/>
    </row>
    <row r="7" spans="1:11" s="139" customFormat="1" ht="12.75" x14ac:dyDescent="0.2">
      <c r="A7" s="269" t="s">
        <v>114</v>
      </c>
      <c r="B7" s="349" t="str">
        <f>Logframe!G5</f>
        <v>SK 1.1.1. Pengadaan citra satelit  dan pengumpulan dokumen RTRW Kabupaten Bungo</v>
      </c>
      <c r="C7" s="349"/>
      <c r="D7" s="349"/>
      <c r="E7" s="349"/>
      <c r="F7" s="349"/>
      <c r="G7" s="349"/>
      <c r="H7" s="349"/>
      <c r="I7" s="349"/>
      <c r="J7" s="135"/>
      <c r="K7" s="135"/>
    </row>
    <row r="8" spans="1:11" s="139" customFormat="1" ht="12.75" x14ac:dyDescent="0.2">
      <c r="A8" s="82"/>
      <c r="B8" s="271" t="s">
        <v>50</v>
      </c>
      <c r="C8" s="82" t="s">
        <v>196</v>
      </c>
      <c r="D8" s="83">
        <v>10</v>
      </c>
      <c r="E8" s="83">
        <v>10000000</v>
      </c>
      <c r="F8" s="84">
        <f t="shared" ref="F8:F13" si="0">D8*E8</f>
        <v>100000000</v>
      </c>
      <c r="G8" s="85"/>
      <c r="H8" s="84">
        <f t="shared" ref="H8:H13" si="1">D8*E8</f>
        <v>100000000</v>
      </c>
      <c r="I8" s="84"/>
      <c r="J8" s="135"/>
      <c r="K8" s="135"/>
    </row>
    <row r="9" spans="1:11" s="139" customFormat="1" ht="12.75" x14ac:dyDescent="0.2">
      <c r="A9" s="82"/>
      <c r="B9" s="271" t="s">
        <v>51</v>
      </c>
      <c r="C9" s="82" t="s">
        <v>197</v>
      </c>
      <c r="D9" s="83">
        <v>50</v>
      </c>
      <c r="E9" s="83">
        <v>750000</v>
      </c>
      <c r="F9" s="84">
        <f t="shared" si="0"/>
        <v>37500000</v>
      </c>
      <c r="G9" s="85"/>
      <c r="H9" s="84">
        <f t="shared" si="1"/>
        <v>37500000</v>
      </c>
      <c r="I9" s="84"/>
      <c r="J9" s="135"/>
      <c r="K9" s="135"/>
    </row>
    <row r="10" spans="1:11" s="141" customFormat="1" ht="12.75" x14ac:dyDescent="0.2">
      <c r="A10" s="86"/>
      <c r="B10" s="272" t="s">
        <v>198</v>
      </c>
      <c r="C10" s="86" t="s">
        <v>141</v>
      </c>
      <c r="D10" s="87">
        <v>1</v>
      </c>
      <c r="E10" s="87">
        <v>2500000</v>
      </c>
      <c r="F10" s="88">
        <f t="shared" si="0"/>
        <v>2500000</v>
      </c>
      <c r="G10" s="89"/>
      <c r="H10" s="88">
        <f t="shared" si="1"/>
        <v>2500000</v>
      </c>
      <c r="I10" s="88"/>
      <c r="J10" s="140"/>
      <c r="K10" s="140"/>
    </row>
    <row r="11" spans="1:11" s="139" customFormat="1" ht="12.75" x14ac:dyDescent="0.2">
      <c r="A11" s="86"/>
      <c r="B11" s="272" t="s">
        <v>52</v>
      </c>
      <c r="C11" s="90" t="s">
        <v>199</v>
      </c>
      <c r="D11" s="91">
        <f>1*5*2</f>
        <v>10</v>
      </c>
      <c r="E11" s="91">
        <v>200000</v>
      </c>
      <c r="F11" s="92">
        <f t="shared" si="0"/>
        <v>2000000</v>
      </c>
      <c r="G11" s="93"/>
      <c r="H11" s="92">
        <f t="shared" si="1"/>
        <v>2000000</v>
      </c>
      <c r="I11" s="84"/>
      <c r="J11" s="135"/>
      <c r="K11" s="135"/>
    </row>
    <row r="12" spans="1:11" s="139" customFormat="1" ht="12.75" x14ac:dyDescent="0.2">
      <c r="A12" s="82"/>
      <c r="B12" s="271" t="s">
        <v>53</v>
      </c>
      <c r="C12" s="82" t="s">
        <v>200</v>
      </c>
      <c r="D12" s="91">
        <f t="shared" ref="D12:D13" si="2">1*5*2</f>
        <v>10</v>
      </c>
      <c r="E12" s="83">
        <v>200000</v>
      </c>
      <c r="F12" s="84">
        <f t="shared" si="0"/>
        <v>2000000</v>
      </c>
      <c r="G12" s="85"/>
      <c r="H12" s="84">
        <f t="shared" si="1"/>
        <v>2000000</v>
      </c>
      <c r="I12" s="84"/>
      <c r="J12" s="135"/>
      <c r="K12" s="135"/>
    </row>
    <row r="13" spans="1:11" s="139" customFormat="1" ht="12.75" x14ac:dyDescent="0.2">
      <c r="A13" s="82"/>
      <c r="B13" s="271" t="s">
        <v>54</v>
      </c>
      <c r="C13" s="82" t="s">
        <v>200</v>
      </c>
      <c r="D13" s="91">
        <f t="shared" si="2"/>
        <v>10</v>
      </c>
      <c r="E13" s="83">
        <v>150000</v>
      </c>
      <c r="F13" s="84">
        <f t="shared" si="0"/>
        <v>1500000</v>
      </c>
      <c r="G13" s="85"/>
      <c r="H13" s="84">
        <f t="shared" si="1"/>
        <v>1500000</v>
      </c>
      <c r="I13" s="84"/>
      <c r="J13" s="135"/>
      <c r="K13" s="135"/>
    </row>
    <row r="14" spans="1:11" s="139" customFormat="1" ht="12.75" x14ac:dyDescent="0.2">
      <c r="A14" s="94"/>
      <c r="B14" s="273" t="s">
        <v>55</v>
      </c>
      <c r="C14" s="94"/>
      <c r="D14" s="95"/>
      <c r="E14" s="95"/>
      <c r="F14" s="96">
        <f>SUM(F8:F13)</f>
        <v>145500000</v>
      </c>
      <c r="G14" s="97"/>
      <c r="H14" s="96">
        <f>SUM(H8:H13)</f>
        <v>145500000</v>
      </c>
      <c r="I14" s="96">
        <f>SUM(I8:I13)</f>
        <v>0</v>
      </c>
      <c r="J14" s="142"/>
      <c r="K14" s="135"/>
    </row>
    <row r="15" spans="1:11" s="139" customFormat="1" ht="12.75" x14ac:dyDescent="0.2">
      <c r="A15" s="269" t="s">
        <v>115</v>
      </c>
      <c r="B15" s="349" t="str">
        <f>Logframe!G6</f>
        <v>SK 1.1.2. Interpretasi dan analisis citra satelit, peta RBI, dan dokumen RTRW</v>
      </c>
      <c r="C15" s="349"/>
      <c r="D15" s="349"/>
      <c r="E15" s="349"/>
      <c r="F15" s="349"/>
      <c r="G15" s="349"/>
      <c r="H15" s="349"/>
      <c r="I15" s="349"/>
      <c r="J15" s="135"/>
      <c r="K15" s="135"/>
    </row>
    <row r="16" spans="1:11" s="139" customFormat="1" ht="12.75" x14ac:dyDescent="0.2">
      <c r="A16" s="82"/>
      <c r="B16" s="271" t="s">
        <v>56</v>
      </c>
      <c r="C16" s="82" t="s">
        <v>201</v>
      </c>
      <c r="D16" s="83">
        <v>10</v>
      </c>
      <c r="E16" s="83">
        <v>150000</v>
      </c>
      <c r="F16" s="84">
        <f>D16*E16</f>
        <v>1500000</v>
      </c>
      <c r="G16" s="85"/>
      <c r="H16" s="84">
        <f>D16*E16</f>
        <v>1500000</v>
      </c>
      <c r="I16" s="84"/>
      <c r="J16" s="135"/>
      <c r="K16" s="135"/>
    </row>
    <row r="17" spans="1:11" s="139" customFormat="1" ht="17.25" customHeight="1" x14ac:dyDescent="0.2">
      <c r="A17" s="94"/>
      <c r="B17" s="273" t="s">
        <v>57</v>
      </c>
      <c r="C17" s="94"/>
      <c r="D17" s="95"/>
      <c r="E17" s="95"/>
      <c r="F17" s="96">
        <f>SUM(F16:F16)</f>
        <v>1500000</v>
      </c>
      <c r="G17" s="97"/>
      <c r="H17" s="96">
        <f>SUM(H16:H16)</f>
        <v>1500000</v>
      </c>
      <c r="I17" s="96">
        <f>SUM(I16:I16)</f>
        <v>0</v>
      </c>
      <c r="J17" s="142"/>
      <c r="K17" s="135"/>
    </row>
    <row r="18" spans="1:11" s="139" customFormat="1" ht="12.75" x14ac:dyDescent="0.2">
      <c r="A18" s="269" t="s">
        <v>116</v>
      </c>
      <c r="B18" s="349" t="str">
        <f>Logframe!G7</f>
        <v>SK 1.1.3. Ground Check di 50 titik di 5 desa</v>
      </c>
      <c r="C18" s="349"/>
      <c r="D18" s="349"/>
      <c r="E18" s="349"/>
      <c r="F18" s="349"/>
      <c r="G18" s="349"/>
      <c r="H18" s="349"/>
      <c r="I18" s="349"/>
      <c r="J18" s="135"/>
      <c r="K18" s="135"/>
    </row>
    <row r="19" spans="1:11" s="139" customFormat="1" ht="17.25" customHeight="1" x14ac:dyDescent="0.2">
      <c r="A19" s="82"/>
      <c r="B19" s="272" t="s">
        <v>58</v>
      </c>
      <c r="C19" s="86" t="s">
        <v>59</v>
      </c>
      <c r="D19" s="87">
        <v>30</v>
      </c>
      <c r="E19" s="87">
        <v>100000</v>
      </c>
      <c r="F19" s="88">
        <f>D19*E19</f>
        <v>3000000</v>
      </c>
      <c r="G19" s="89"/>
      <c r="H19" s="88">
        <f>D19*E19</f>
        <v>3000000</v>
      </c>
      <c r="I19" s="88"/>
      <c r="J19" s="135"/>
      <c r="K19" s="135"/>
    </row>
    <row r="20" spans="1:11" s="139" customFormat="1" ht="15.75" customHeight="1" x14ac:dyDescent="0.2">
      <c r="A20" s="82"/>
      <c r="B20" s="272" t="s">
        <v>53</v>
      </c>
      <c r="C20" s="86" t="s">
        <v>60</v>
      </c>
      <c r="D20" s="87">
        <v>30</v>
      </c>
      <c r="E20" s="87">
        <v>200000</v>
      </c>
      <c r="F20" s="88">
        <f>D20*E20</f>
        <v>6000000</v>
      </c>
      <c r="G20" s="89"/>
      <c r="H20" s="88">
        <f>D20*E20</f>
        <v>6000000</v>
      </c>
      <c r="I20" s="88"/>
      <c r="J20" s="135"/>
      <c r="K20" s="135"/>
    </row>
    <row r="21" spans="1:11" s="139" customFormat="1" ht="15.75" customHeight="1" x14ac:dyDescent="0.2">
      <c r="A21" s="82"/>
      <c r="B21" s="271" t="s">
        <v>54</v>
      </c>
      <c r="C21" s="82" t="s">
        <v>202</v>
      </c>
      <c r="D21" s="87">
        <v>30</v>
      </c>
      <c r="E21" s="83">
        <v>150000</v>
      </c>
      <c r="F21" s="84">
        <f>D21*E21</f>
        <v>4500000</v>
      </c>
      <c r="G21" s="85"/>
      <c r="H21" s="84">
        <f>D21*E21</f>
        <v>4500000</v>
      </c>
      <c r="I21" s="84"/>
      <c r="J21" s="135"/>
      <c r="K21" s="135"/>
    </row>
    <row r="22" spans="1:11" s="139" customFormat="1" ht="12.75" x14ac:dyDescent="0.2">
      <c r="A22" s="94"/>
      <c r="B22" s="273" t="s">
        <v>61</v>
      </c>
      <c r="C22" s="94"/>
      <c r="D22" s="95"/>
      <c r="E22" s="95"/>
      <c r="F22" s="96">
        <f>SUM(F19:F21)</f>
        <v>13500000</v>
      </c>
      <c r="G22" s="97"/>
      <c r="H22" s="96">
        <f>SUM(H19:H21)</f>
        <v>13500000</v>
      </c>
      <c r="I22" s="96">
        <f>SUM(I19:I20)</f>
        <v>0</v>
      </c>
      <c r="J22" s="142"/>
      <c r="K22" s="135"/>
    </row>
    <row r="23" spans="1:11" s="139" customFormat="1" ht="12.75" customHeight="1" x14ac:dyDescent="0.2">
      <c r="A23" s="269" t="s">
        <v>117</v>
      </c>
      <c r="B23" s="349" t="str">
        <f>Logframe!G8</f>
        <v>SK 1.1.4. Analisis tutupan hutan, penggunaan lahan dan potensi pemodelan PHBM di kawasan penyangga TNKS blok Bujang Raba</v>
      </c>
      <c r="C23" s="349"/>
      <c r="D23" s="349"/>
      <c r="E23" s="349"/>
      <c r="F23" s="349"/>
      <c r="G23" s="349"/>
      <c r="H23" s="349"/>
      <c r="I23" s="349"/>
      <c r="J23" s="135"/>
      <c r="K23" s="135"/>
    </row>
    <row r="24" spans="1:11" s="139" customFormat="1" ht="27.75" customHeight="1" x14ac:dyDescent="0.2">
      <c r="A24" s="82"/>
      <c r="B24" s="271" t="s">
        <v>253</v>
      </c>
      <c r="C24" s="82" t="s">
        <v>203</v>
      </c>
      <c r="D24" s="83">
        <f>3*10</f>
        <v>30</v>
      </c>
      <c r="E24" s="83">
        <v>200000</v>
      </c>
      <c r="F24" s="84">
        <f>D24*E24</f>
        <v>6000000</v>
      </c>
      <c r="G24" s="85"/>
      <c r="H24" s="84">
        <f>D24*E24</f>
        <v>6000000</v>
      </c>
      <c r="I24" s="84"/>
      <c r="J24" s="135"/>
      <c r="K24" s="135"/>
    </row>
    <row r="25" spans="1:11" s="139" customFormat="1" ht="12.75" x14ac:dyDescent="0.2">
      <c r="A25" s="94"/>
      <c r="B25" s="273" t="s">
        <v>79</v>
      </c>
      <c r="C25" s="94"/>
      <c r="D25" s="95"/>
      <c r="E25" s="95"/>
      <c r="F25" s="96">
        <f>SUM(F24)</f>
        <v>6000000</v>
      </c>
      <c r="G25" s="97"/>
      <c r="H25" s="96">
        <f>SUM(H24)</f>
        <v>6000000</v>
      </c>
      <c r="I25" s="96">
        <f>SUM(I24:I24)</f>
        <v>0</v>
      </c>
      <c r="J25" s="142"/>
      <c r="K25" s="135"/>
    </row>
    <row r="26" spans="1:11" s="139" customFormat="1" ht="12.75" x14ac:dyDescent="0.2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135"/>
    </row>
    <row r="27" spans="1:11" s="260" customFormat="1" ht="12.75" x14ac:dyDescent="0.2">
      <c r="A27" s="274"/>
      <c r="B27" s="274" t="s">
        <v>229</v>
      </c>
      <c r="C27" s="274"/>
      <c r="D27" s="274"/>
      <c r="E27" s="274"/>
      <c r="F27" s="265">
        <f t="shared" ref="F27" si="3">SUM(F25,F22,F17,F14)</f>
        <v>166500000</v>
      </c>
      <c r="G27" s="265"/>
      <c r="H27" s="265">
        <f>SUM(H25,H22,H17,H14)</f>
        <v>166500000</v>
      </c>
      <c r="I27" s="265">
        <f t="shared" ref="I27:K27" si="4">SUM(I14)</f>
        <v>0</v>
      </c>
      <c r="J27" s="265">
        <f t="shared" si="4"/>
        <v>0</v>
      </c>
      <c r="K27" s="265">
        <f t="shared" si="4"/>
        <v>0</v>
      </c>
    </row>
    <row r="28" spans="1:11" s="139" customFormat="1" ht="12.75" x14ac:dyDescent="0.2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135"/>
    </row>
    <row r="29" spans="1:11" s="137" customFormat="1" ht="19.5" customHeight="1" x14ac:dyDescent="0.25">
      <c r="A29" s="349" t="str">
        <f>Logframe!D9</f>
        <v>K 1.2.  Memetakan potensi 5 lokasi calon  PHBM di kawasan penyangga TNKS blok Bujang Raba</v>
      </c>
      <c r="B29" s="349"/>
      <c r="C29" s="349"/>
      <c r="D29" s="349"/>
      <c r="E29" s="349"/>
      <c r="F29" s="349"/>
      <c r="G29" s="349"/>
      <c r="H29" s="349"/>
      <c r="I29" s="349"/>
      <c r="J29" s="261"/>
      <c r="K29" s="266"/>
    </row>
    <row r="30" spans="1:11" s="139" customFormat="1" ht="12.75" x14ac:dyDescent="0.2">
      <c r="A30" s="275" t="s">
        <v>118</v>
      </c>
      <c r="B30" s="350" t="str">
        <f>Logframe!G9</f>
        <v>SK 1.2.1. Pemetaan partisipatif di 5 lokasi calon  PHBM di kawasan penyangga TNKS blok Bujang Raba</v>
      </c>
      <c r="C30" s="350"/>
      <c r="D30" s="350"/>
      <c r="E30" s="350"/>
      <c r="F30" s="350"/>
      <c r="G30" s="350"/>
      <c r="H30" s="350"/>
      <c r="I30" s="350"/>
      <c r="J30" s="135"/>
      <c r="K30" s="135"/>
    </row>
    <row r="31" spans="1:11" s="139" customFormat="1" ht="12.75" x14ac:dyDescent="0.2">
      <c r="A31" s="276"/>
      <c r="B31" s="277" t="s">
        <v>119</v>
      </c>
      <c r="C31" s="86"/>
      <c r="D31" s="87"/>
      <c r="E31" s="209"/>
      <c r="F31" s="210"/>
      <c r="G31" s="211"/>
      <c r="H31" s="210"/>
      <c r="I31" s="210"/>
      <c r="J31" s="135"/>
      <c r="K31" s="135"/>
    </row>
    <row r="32" spans="1:11" s="139" customFormat="1" ht="12.75" x14ac:dyDescent="0.2">
      <c r="A32" s="86"/>
      <c r="B32" s="264" t="s">
        <v>120</v>
      </c>
      <c r="C32" s="86" t="s">
        <v>204</v>
      </c>
      <c r="D32" s="87">
        <f>5*30</f>
        <v>150</v>
      </c>
      <c r="E32" s="216">
        <v>25000</v>
      </c>
      <c r="F32" s="212">
        <f t="shared" ref="F32:F40" si="5">D32*E32</f>
        <v>3750000</v>
      </c>
      <c r="G32" s="213"/>
      <c r="H32" s="88">
        <f>D32*E32</f>
        <v>3750000</v>
      </c>
      <c r="I32" s="214">
        <f>F32-H32</f>
        <v>0</v>
      </c>
      <c r="J32" s="135"/>
      <c r="K32" s="135"/>
    </row>
    <row r="33" spans="1:11" s="139" customFormat="1" ht="12.75" x14ac:dyDescent="0.2">
      <c r="A33" s="86"/>
      <c r="B33" s="264" t="s">
        <v>121</v>
      </c>
      <c r="C33" s="86" t="s">
        <v>205</v>
      </c>
      <c r="D33" s="87">
        <v>5</v>
      </c>
      <c r="E33" s="216">
        <v>500000</v>
      </c>
      <c r="F33" s="212">
        <f t="shared" si="5"/>
        <v>2500000</v>
      </c>
      <c r="G33" s="213"/>
      <c r="H33" s="84">
        <f>D33*E33</f>
        <v>2500000</v>
      </c>
      <c r="I33" s="215">
        <f t="shared" ref="I33:I50" si="6">F33-H33</f>
        <v>0</v>
      </c>
      <c r="J33" s="135"/>
      <c r="K33" s="135"/>
    </row>
    <row r="34" spans="1:11" s="139" customFormat="1" ht="12.75" x14ac:dyDescent="0.2">
      <c r="A34" s="86"/>
      <c r="B34" s="264" t="s">
        <v>122</v>
      </c>
      <c r="C34" s="86" t="s">
        <v>206</v>
      </c>
      <c r="D34" s="87">
        <f>5*32*2</f>
        <v>320</v>
      </c>
      <c r="E34" s="216">
        <v>50000</v>
      </c>
      <c r="F34" s="212">
        <f t="shared" si="5"/>
        <v>16000000</v>
      </c>
      <c r="G34" s="213"/>
      <c r="H34" s="84">
        <f t="shared" ref="H34:H40" si="7">D34*E34</f>
        <v>16000000</v>
      </c>
      <c r="I34" s="215">
        <f t="shared" si="6"/>
        <v>0</v>
      </c>
      <c r="J34" s="135"/>
      <c r="K34" s="135"/>
    </row>
    <row r="35" spans="1:11" s="139" customFormat="1" ht="12.75" x14ac:dyDescent="0.2">
      <c r="A35" s="86"/>
      <c r="B35" s="264" t="s">
        <v>123</v>
      </c>
      <c r="C35" s="86" t="s">
        <v>207</v>
      </c>
      <c r="D35" s="87">
        <f>5*1*2</f>
        <v>10</v>
      </c>
      <c r="E35" s="216">
        <v>150000</v>
      </c>
      <c r="F35" s="212">
        <f t="shared" si="5"/>
        <v>1500000</v>
      </c>
      <c r="G35" s="213"/>
      <c r="H35" s="84">
        <f t="shared" si="7"/>
        <v>1500000</v>
      </c>
      <c r="I35" s="215">
        <f>F35-H35</f>
        <v>0</v>
      </c>
      <c r="J35" s="140"/>
      <c r="K35" s="135"/>
    </row>
    <row r="36" spans="1:11" s="137" customFormat="1" ht="19.5" customHeight="1" x14ac:dyDescent="0.25">
      <c r="A36" s="86"/>
      <c r="B36" s="264" t="s">
        <v>53</v>
      </c>
      <c r="C36" s="86" t="s">
        <v>208</v>
      </c>
      <c r="D36" s="87">
        <f>5*1*4</f>
        <v>20</v>
      </c>
      <c r="E36" s="216">
        <v>50000</v>
      </c>
      <c r="F36" s="212">
        <f t="shared" si="5"/>
        <v>1000000</v>
      </c>
      <c r="G36" s="213"/>
      <c r="H36" s="84">
        <f t="shared" si="7"/>
        <v>1000000</v>
      </c>
      <c r="I36" s="215">
        <f>F36-H36</f>
        <v>0</v>
      </c>
      <c r="J36" s="261"/>
      <c r="K36" s="266"/>
    </row>
    <row r="37" spans="1:11" s="139" customFormat="1" ht="12.75" x14ac:dyDescent="0.2">
      <c r="A37" s="86"/>
      <c r="B37" s="264" t="s">
        <v>54</v>
      </c>
      <c r="C37" s="86" t="s">
        <v>208</v>
      </c>
      <c r="D37" s="87">
        <f>5*1*4</f>
        <v>20</v>
      </c>
      <c r="E37" s="216">
        <v>50000</v>
      </c>
      <c r="F37" s="212">
        <f t="shared" si="5"/>
        <v>1000000</v>
      </c>
      <c r="G37" s="213"/>
      <c r="H37" s="84">
        <f t="shared" si="7"/>
        <v>1000000</v>
      </c>
      <c r="I37" s="215">
        <f t="shared" si="6"/>
        <v>0</v>
      </c>
      <c r="J37" s="135"/>
      <c r="K37" s="135"/>
    </row>
    <row r="38" spans="1:11" s="139" customFormat="1" ht="12.75" x14ac:dyDescent="0.2">
      <c r="A38" s="86"/>
      <c r="B38" s="264" t="s">
        <v>124</v>
      </c>
      <c r="C38" s="86" t="s">
        <v>209</v>
      </c>
      <c r="D38" s="87">
        <f>5*2*2</f>
        <v>20</v>
      </c>
      <c r="E38" s="216">
        <v>150000</v>
      </c>
      <c r="F38" s="212">
        <f t="shared" si="5"/>
        <v>3000000</v>
      </c>
      <c r="G38" s="213"/>
      <c r="H38" s="84">
        <f t="shared" si="7"/>
        <v>3000000</v>
      </c>
      <c r="I38" s="215">
        <f>F38-H38</f>
        <v>0</v>
      </c>
      <c r="J38" s="135"/>
      <c r="K38" s="135"/>
    </row>
    <row r="39" spans="1:11" s="139" customFormat="1" ht="12.75" x14ac:dyDescent="0.2">
      <c r="A39" s="86"/>
      <c r="B39" s="264" t="s">
        <v>125</v>
      </c>
      <c r="C39" s="86" t="s">
        <v>210</v>
      </c>
      <c r="D39" s="87">
        <f>5*2*2</f>
        <v>20</v>
      </c>
      <c r="E39" s="216">
        <v>50000</v>
      </c>
      <c r="F39" s="212">
        <f t="shared" si="5"/>
        <v>1000000</v>
      </c>
      <c r="G39" s="213"/>
      <c r="H39" s="84">
        <f t="shared" si="7"/>
        <v>1000000</v>
      </c>
      <c r="I39" s="215">
        <f>F39-H39</f>
        <v>0</v>
      </c>
      <c r="J39" s="135"/>
      <c r="K39" s="135"/>
    </row>
    <row r="40" spans="1:11" s="139" customFormat="1" ht="12.75" x14ac:dyDescent="0.2">
      <c r="A40" s="86"/>
      <c r="B40" s="264" t="s">
        <v>126</v>
      </c>
      <c r="C40" s="86" t="s">
        <v>210</v>
      </c>
      <c r="D40" s="87">
        <f>5*2*2</f>
        <v>20</v>
      </c>
      <c r="E40" s="216">
        <v>50000</v>
      </c>
      <c r="F40" s="212">
        <f t="shared" si="5"/>
        <v>1000000</v>
      </c>
      <c r="G40" s="213"/>
      <c r="H40" s="84">
        <f t="shared" si="7"/>
        <v>1000000</v>
      </c>
      <c r="I40" s="215">
        <f>F40-H40</f>
        <v>0</v>
      </c>
      <c r="J40" s="135"/>
      <c r="K40" s="135"/>
    </row>
    <row r="41" spans="1:11" s="139" customFormat="1" ht="12.75" x14ac:dyDescent="0.2">
      <c r="A41" s="86"/>
      <c r="B41" s="278" t="s">
        <v>127</v>
      </c>
      <c r="C41" s="86"/>
      <c r="D41" s="87"/>
      <c r="E41" s="216"/>
      <c r="F41" s="212"/>
      <c r="G41" s="213"/>
      <c r="H41" s="84"/>
      <c r="I41" s="215">
        <f t="shared" si="6"/>
        <v>0</v>
      </c>
      <c r="J41" s="135"/>
      <c r="K41" s="135"/>
    </row>
    <row r="42" spans="1:11" s="139" customFormat="1" ht="12.75" x14ac:dyDescent="0.2">
      <c r="A42" s="86"/>
      <c r="B42" s="264" t="s">
        <v>128</v>
      </c>
      <c r="C42" s="86" t="s">
        <v>211</v>
      </c>
      <c r="D42" s="87">
        <f>5*1</f>
        <v>5</v>
      </c>
      <c r="E42" s="216">
        <v>500000</v>
      </c>
      <c r="F42" s="212">
        <f>D42*E42</f>
        <v>2500000</v>
      </c>
      <c r="G42" s="213"/>
      <c r="H42" s="84">
        <f>D42*E42</f>
        <v>2500000</v>
      </c>
      <c r="I42" s="215">
        <f t="shared" si="6"/>
        <v>0</v>
      </c>
      <c r="J42" s="135"/>
      <c r="K42" s="135"/>
    </row>
    <row r="43" spans="1:11" s="139" customFormat="1" ht="12.75" x14ac:dyDescent="0.2">
      <c r="A43" s="86"/>
      <c r="B43" s="264" t="s">
        <v>129</v>
      </c>
      <c r="C43" s="86" t="s">
        <v>212</v>
      </c>
      <c r="D43" s="87">
        <f>5*30*15</f>
        <v>2250</v>
      </c>
      <c r="E43" s="216">
        <v>50000</v>
      </c>
      <c r="F43" s="212">
        <f>D43*E43</f>
        <v>112500000</v>
      </c>
      <c r="G43" s="213"/>
      <c r="H43" s="84">
        <f>D43*E43</f>
        <v>112500000</v>
      </c>
      <c r="I43" s="215">
        <f t="shared" si="6"/>
        <v>0</v>
      </c>
      <c r="J43" s="135"/>
      <c r="K43" s="135"/>
    </row>
    <row r="44" spans="1:11" x14ac:dyDescent="0.25">
      <c r="A44" s="86"/>
      <c r="B44" s="278" t="s">
        <v>130</v>
      </c>
      <c r="C44" s="86"/>
      <c r="D44" s="87"/>
      <c r="E44" s="216"/>
      <c r="F44" s="212"/>
      <c r="G44" s="213"/>
      <c r="H44" s="84"/>
      <c r="I44" s="215">
        <f t="shared" si="6"/>
        <v>0</v>
      </c>
      <c r="J44" s="132"/>
      <c r="K44" s="267"/>
    </row>
    <row r="45" spans="1:11" s="139" customFormat="1" ht="12.75" x14ac:dyDescent="0.2">
      <c r="A45" s="86"/>
      <c r="B45" s="264" t="s">
        <v>131</v>
      </c>
      <c r="C45" s="86" t="s">
        <v>207</v>
      </c>
      <c r="D45" s="87">
        <f>5*1*2</f>
        <v>10</v>
      </c>
      <c r="E45" s="216">
        <v>150000</v>
      </c>
      <c r="F45" s="212">
        <f>D45*E45</f>
        <v>1500000</v>
      </c>
      <c r="G45" s="213"/>
      <c r="H45" s="84">
        <f>D45*E45</f>
        <v>1500000</v>
      </c>
      <c r="I45" s="215">
        <f>F45-H45</f>
        <v>0</v>
      </c>
      <c r="J45" s="135"/>
      <c r="K45" s="135"/>
    </row>
    <row r="46" spans="1:11" x14ac:dyDescent="0.25">
      <c r="A46" s="86"/>
      <c r="B46" s="264" t="s">
        <v>132</v>
      </c>
      <c r="C46" s="86" t="s">
        <v>213</v>
      </c>
      <c r="D46" s="87">
        <f>5*2</f>
        <v>10</v>
      </c>
      <c r="E46" s="216">
        <v>200000</v>
      </c>
      <c r="F46" s="212">
        <f>D46*E46</f>
        <v>2000000</v>
      </c>
      <c r="G46" s="213"/>
      <c r="H46" s="84">
        <f>D46*E46</f>
        <v>2000000</v>
      </c>
      <c r="I46" s="215">
        <f>F46-H46</f>
        <v>0</v>
      </c>
      <c r="J46" s="267"/>
      <c r="K46" s="267"/>
    </row>
    <row r="47" spans="1:11" x14ac:dyDescent="0.25">
      <c r="A47" s="86"/>
      <c r="B47" s="264" t="s">
        <v>133</v>
      </c>
      <c r="C47" s="86" t="s">
        <v>213</v>
      </c>
      <c r="D47" s="87">
        <f>5*2</f>
        <v>10</v>
      </c>
      <c r="E47" s="216">
        <v>50000</v>
      </c>
      <c r="F47" s="212">
        <f>D47*E47</f>
        <v>500000</v>
      </c>
      <c r="G47" s="213"/>
      <c r="H47" s="84">
        <f>D47*E47</f>
        <v>500000</v>
      </c>
      <c r="I47" s="215">
        <f t="shared" si="6"/>
        <v>0</v>
      </c>
      <c r="J47" s="267"/>
      <c r="K47" s="267"/>
    </row>
    <row r="48" spans="1:11" x14ac:dyDescent="0.25">
      <c r="A48" s="86"/>
      <c r="B48" s="264" t="s">
        <v>134</v>
      </c>
      <c r="C48" s="86" t="s">
        <v>213</v>
      </c>
      <c r="D48" s="87">
        <f>5*2</f>
        <v>10</v>
      </c>
      <c r="E48" s="216">
        <v>100000</v>
      </c>
      <c r="F48" s="212">
        <f>D48*E48</f>
        <v>1000000</v>
      </c>
      <c r="G48" s="213"/>
      <c r="H48" s="84">
        <f>D48*E48</f>
        <v>1000000</v>
      </c>
      <c r="I48" s="215">
        <f t="shared" si="6"/>
        <v>0</v>
      </c>
      <c r="J48" s="267"/>
      <c r="K48" s="267"/>
    </row>
    <row r="49" spans="1:11" x14ac:dyDescent="0.25">
      <c r="A49" s="86"/>
      <c r="B49" s="278" t="s">
        <v>135</v>
      </c>
      <c r="C49" s="86"/>
      <c r="D49" s="87"/>
      <c r="E49" s="216"/>
      <c r="F49" s="212"/>
      <c r="G49" s="213"/>
      <c r="H49" s="84"/>
      <c r="I49" s="215">
        <f t="shared" si="6"/>
        <v>0</v>
      </c>
      <c r="J49" s="267"/>
      <c r="K49" s="267"/>
    </row>
    <row r="50" spans="1:11" x14ac:dyDescent="0.25">
      <c r="A50" s="86"/>
      <c r="B50" s="271" t="s">
        <v>136</v>
      </c>
      <c r="C50" s="82" t="s">
        <v>214</v>
      </c>
      <c r="D50" s="83">
        <f>5*4*5</f>
        <v>100</v>
      </c>
      <c r="E50" s="83">
        <v>200000</v>
      </c>
      <c r="F50" s="212">
        <f>D50*E50</f>
        <v>20000000</v>
      </c>
      <c r="G50" s="213"/>
      <c r="H50" s="84">
        <f>D50*E50</f>
        <v>20000000</v>
      </c>
      <c r="I50" s="215">
        <f t="shared" si="6"/>
        <v>0</v>
      </c>
      <c r="J50" s="267"/>
      <c r="K50" s="267"/>
    </row>
    <row r="51" spans="1:11" x14ac:dyDescent="0.25">
      <c r="A51" s="86"/>
      <c r="B51" s="271"/>
      <c r="C51" s="82"/>
      <c r="D51" s="83"/>
      <c r="E51" s="83"/>
      <c r="F51" s="212"/>
      <c r="G51" s="213"/>
      <c r="H51" s="84"/>
      <c r="I51" s="215"/>
      <c r="J51" s="267"/>
      <c r="K51" s="267"/>
    </row>
    <row r="52" spans="1:11" x14ac:dyDescent="0.25">
      <c r="A52" s="86"/>
      <c r="B52" s="279" t="s">
        <v>137</v>
      </c>
      <c r="C52" s="217" t="s">
        <v>138</v>
      </c>
      <c r="D52" s="217">
        <v>13</v>
      </c>
      <c r="E52" s="87">
        <v>3000000</v>
      </c>
      <c r="F52" s="218">
        <f>D52*E52</f>
        <v>39000000</v>
      </c>
      <c r="G52" s="89"/>
      <c r="H52" s="84">
        <f>D52*E52</f>
        <v>39000000</v>
      </c>
      <c r="I52" s="86"/>
      <c r="J52" s="267"/>
      <c r="K52" s="267"/>
    </row>
    <row r="53" spans="1:11" x14ac:dyDescent="0.25">
      <c r="A53" s="94"/>
      <c r="B53" s="280" t="s">
        <v>78</v>
      </c>
      <c r="C53" s="94" t="s">
        <v>139</v>
      </c>
      <c r="D53" s="95"/>
      <c r="E53" s="95"/>
      <c r="F53" s="96">
        <f>SUM(F32:F52)</f>
        <v>209750000</v>
      </c>
      <c r="G53" s="97"/>
      <c r="H53" s="96">
        <f>SUM(H32:H52)</f>
        <v>209750000</v>
      </c>
      <c r="I53" s="96">
        <f>SUM(I32:I52)</f>
        <v>0</v>
      </c>
      <c r="J53" s="267"/>
      <c r="K53" s="267"/>
    </row>
    <row r="54" spans="1:11" x14ac:dyDescent="0.25">
      <c r="A54" s="86"/>
      <c r="B54" s="281"/>
      <c r="C54" s="86"/>
      <c r="D54" s="87"/>
      <c r="E54" s="87"/>
      <c r="F54" s="282"/>
      <c r="G54" s="211"/>
      <c r="H54" s="282"/>
      <c r="I54" s="282"/>
      <c r="J54" s="267"/>
      <c r="K54" s="267"/>
    </row>
    <row r="55" spans="1:11" x14ac:dyDescent="0.25">
      <c r="A55" s="86"/>
      <c r="B55" s="281"/>
      <c r="C55" s="86"/>
      <c r="D55" s="87"/>
      <c r="E55" s="87"/>
      <c r="F55" s="282"/>
      <c r="G55" s="211"/>
      <c r="H55" s="282"/>
      <c r="I55" s="282"/>
      <c r="J55" s="267"/>
      <c r="K55" s="267"/>
    </row>
    <row r="56" spans="1:11" x14ac:dyDescent="0.25">
      <c r="A56" s="94"/>
      <c r="B56" s="280" t="s">
        <v>230</v>
      </c>
      <c r="C56" s="94"/>
      <c r="D56" s="95"/>
      <c r="E56" s="95"/>
      <c r="F56" s="96">
        <f t="shared" ref="F56" si="8">SUM(F53)</f>
        <v>209750000</v>
      </c>
      <c r="G56" s="96"/>
      <c r="H56" s="96">
        <f>SUM(H53)</f>
        <v>209750000</v>
      </c>
      <c r="I56" s="96">
        <f t="shared" ref="I56:K56" si="9">SUM(I53)</f>
        <v>0</v>
      </c>
      <c r="J56" s="96">
        <f t="shared" si="9"/>
        <v>0</v>
      </c>
      <c r="K56" s="96">
        <f t="shared" si="9"/>
        <v>0</v>
      </c>
    </row>
    <row r="57" spans="1:11" x14ac:dyDescent="0.25">
      <c r="A57" s="86"/>
      <c r="B57" s="281"/>
      <c r="C57" s="86"/>
      <c r="D57" s="87"/>
      <c r="E57" s="87"/>
      <c r="F57" s="282"/>
      <c r="G57" s="211"/>
      <c r="H57" s="282"/>
      <c r="I57" s="282"/>
      <c r="J57" s="267"/>
      <c r="K57" s="267"/>
    </row>
    <row r="58" spans="1:11" x14ac:dyDescent="0.25">
      <c r="A58" s="276" t="s">
        <v>140</v>
      </c>
      <c r="B58" s="349" t="str">
        <f>Logframe!G10</f>
        <v>SK 1.3.1. Pelaksanaan TOT Fasilitator lokal PRA  di 5 lokasi calon PHBM</v>
      </c>
      <c r="C58" s="349"/>
      <c r="D58" s="349"/>
      <c r="E58" s="349"/>
      <c r="F58" s="349"/>
      <c r="G58" s="349"/>
      <c r="H58" s="349"/>
      <c r="I58" s="349"/>
      <c r="J58" s="267"/>
      <c r="K58" s="267"/>
    </row>
    <row r="59" spans="1:11" x14ac:dyDescent="0.25">
      <c r="A59" s="86"/>
      <c r="B59" s="264"/>
      <c r="C59" s="86"/>
      <c r="D59" s="87">
        <v>3</v>
      </c>
      <c r="E59" s="216">
        <v>1000000</v>
      </c>
      <c r="F59" s="212">
        <f>D59*E59</f>
        <v>3000000</v>
      </c>
      <c r="G59" s="213"/>
      <c r="H59" s="84">
        <f>D59*E59</f>
        <v>3000000</v>
      </c>
      <c r="I59" s="82"/>
      <c r="J59" s="267"/>
      <c r="K59" s="267"/>
    </row>
    <row r="60" spans="1:11" x14ac:dyDescent="0.25">
      <c r="A60" s="86"/>
      <c r="B60" s="264"/>
      <c r="C60" s="86"/>
      <c r="D60" s="87">
        <v>1</v>
      </c>
      <c r="E60" s="216">
        <v>500000</v>
      </c>
      <c r="F60" s="212">
        <f>D60*E60</f>
        <v>500000</v>
      </c>
      <c r="G60" s="213"/>
      <c r="H60" s="84">
        <f>D60*E60</f>
        <v>500000</v>
      </c>
      <c r="I60" s="82"/>
      <c r="J60" s="267"/>
      <c r="K60" s="267"/>
    </row>
    <row r="61" spans="1:11" x14ac:dyDescent="0.25">
      <c r="A61" s="86"/>
      <c r="B61" s="264"/>
      <c r="C61" s="86"/>
      <c r="D61" s="87">
        <f>6*1</f>
        <v>6</v>
      </c>
      <c r="E61" s="216">
        <v>75000</v>
      </c>
      <c r="F61" s="212">
        <f>D61*E61</f>
        <v>450000</v>
      </c>
      <c r="G61" s="213"/>
      <c r="H61" s="84">
        <f>D61*E61</f>
        <v>450000</v>
      </c>
      <c r="I61" s="82"/>
      <c r="J61" s="267"/>
      <c r="K61" s="267"/>
    </row>
    <row r="62" spans="1:11" x14ac:dyDescent="0.25">
      <c r="A62" s="86"/>
      <c r="B62" s="264"/>
      <c r="C62" s="86"/>
      <c r="D62" s="87">
        <f>30*3</f>
        <v>90</v>
      </c>
      <c r="E62" s="216">
        <v>150000</v>
      </c>
      <c r="F62" s="212">
        <f t="shared" ref="F62:F68" si="10">D62*E62</f>
        <v>13500000</v>
      </c>
      <c r="G62" s="213"/>
      <c r="H62" s="84">
        <f t="shared" ref="H62:H68" si="11">D62*E62</f>
        <v>13500000</v>
      </c>
      <c r="I62" s="82"/>
      <c r="J62" s="267"/>
      <c r="K62" s="267"/>
    </row>
    <row r="63" spans="1:11" x14ac:dyDescent="0.25">
      <c r="A63" s="86"/>
      <c r="B63" s="264"/>
      <c r="C63" s="86"/>
      <c r="D63" s="87">
        <f>18*3</f>
        <v>54</v>
      </c>
      <c r="E63" s="216">
        <v>200000</v>
      </c>
      <c r="F63" s="212">
        <f t="shared" si="10"/>
        <v>10800000</v>
      </c>
      <c r="G63" s="213"/>
      <c r="H63" s="84">
        <f t="shared" si="11"/>
        <v>10800000</v>
      </c>
      <c r="I63" s="82"/>
      <c r="J63" s="267"/>
      <c r="K63" s="267"/>
    </row>
    <row r="64" spans="1:11" x14ac:dyDescent="0.25">
      <c r="A64" s="86"/>
      <c r="B64" s="264"/>
      <c r="C64" s="86"/>
      <c r="D64" s="87">
        <f>18*1</f>
        <v>18</v>
      </c>
      <c r="E64" s="216">
        <v>200000</v>
      </c>
      <c r="F64" s="212">
        <f t="shared" si="10"/>
        <v>3600000</v>
      </c>
      <c r="G64" s="213"/>
      <c r="H64" s="84">
        <f t="shared" si="11"/>
        <v>3600000</v>
      </c>
      <c r="I64" s="82"/>
      <c r="J64" s="267"/>
      <c r="K64" s="267"/>
    </row>
    <row r="65" spans="1:11" x14ac:dyDescent="0.25">
      <c r="A65" s="86"/>
      <c r="B65" s="264"/>
      <c r="C65" s="86"/>
      <c r="D65" s="87">
        <f>3*3</f>
        <v>9</v>
      </c>
      <c r="E65" s="216">
        <v>150000</v>
      </c>
      <c r="F65" s="212">
        <f t="shared" si="10"/>
        <v>1350000</v>
      </c>
      <c r="G65" s="213"/>
      <c r="H65" s="84">
        <f t="shared" si="11"/>
        <v>1350000</v>
      </c>
      <c r="I65" s="82"/>
      <c r="J65" s="267"/>
      <c r="K65" s="267"/>
    </row>
    <row r="66" spans="1:11" x14ac:dyDescent="0.25">
      <c r="A66" s="86"/>
      <c r="B66" s="264"/>
      <c r="C66" s="86"/>
      <c r="D66" s="87">
        <f>2*3</f>
        <v>6</v>
      </c>
      <c r="E66" s="216">
        <v>150000</v>
      </c>
      <c r="F66" s="212">
        <f t="shared" si="10"/>
        <v>900000</v>
      </c>
      <c r="G66" s="213"/>
      <c r="H66" s="84">
        <f t="shared" si="11"/>
        <v>900000</v>
      </c>
      <c r="I66" s="82"/>
      <c r="J66" s="267"/>
      <c r="K66" s="267"/>
    </row>
    <row r="67" spans="1:11" x14ac:dyDescent="0.25">
      <c r="A67" s="86"/>
      <c r="B67" s="264"/>
      <c r="C67" s="86"/>
      <c r="D67" s="87">
        <f>3*1</f>
        <v>3</v>
      </c>
      <c r="E67" s="216">
        <v>750000</v>
      </c>
      <c r="F67" s="212">
        <f t="shared" si="10"/>
        <v>2250000</v>
      </c>
      <c r="G67" s="213"/>
      <c r="H67" s="84">
        <f t="shared" si="11"/>
        <v>2250000</v>
      </c>
      <c r="I67" s="82"/>
      <c r="J67" s="267"/>
      <c r="K67" s="267"/>
    </row>
    <row r="68" spans="1:11" x14ac:dyDescent="0.25">
      <c r="A68" s="86"/>
      <c r="B68" s="264"/>
      <c r="C68" s="86"/>
      <c r="D68" s="87">
        <f>3*2</f>
        <v>6</v>
      </c>
      <c r="E68" s="216">
        <v>1000000</v>
      </c>
      <c r="F68" s="212">
        <f t="shared" si="10"/>
        <v>6000000</v>
      </c>
      <c r="G68" s="213"/>
      <c r="H68" s="84">
        <f t="shared" si="11"/>
        <v>6000000</v>
      </c>
      <c r="I68" s="82"/>
      <c r="J68" s="267"/>
      <c r="K68" s="267"/>
    </row>
    <row r="69" spans="1:11" x14ac:dyDescent="0.25">
      <c r="A69" s="94"/>
      <c r="B69" s="273" t="s">
        <v>142</v>
      </c>
      <c r="C69" s="94"/>
      <c r="D69" s="95"/>
      <c r="E69" s="219"/>
      <c r="F69" s="220">
        <f>SUM(F59:F68)</f>
        <v>42350000</v>
      </c>
      <c r="G69" s="97"/>
      <c r="H69" s="220">
        <f>SUM(H59:H68)</f>
        <v>42350000</v>
      </c>
      <c r="I69" s="220">
        <f>SUM(I59:I68)</f>
        <v>0</v>
      </c>
      <c r="J69" s="267"/>
      <c r="K69" s="267"/>
    </row>
    <row r="70" spans="1:11" x14ac:dyDescent="0.25">
      <c r="A70" s="276" t="s">
        <v>143</v>
      </c>
      <c r="B70" s="349" t="str">
        <f>Logframe!G11</f>
        <v>SK 1.3.2. PRA di 5 desa calon lokasi PHBM tentang kondisi ekonomi dan biofisik</v>
      </c>
      <c r="C70" s="349"/>
      <c r="D70" s="349"/>
      <c r="E70" s="349"/>
      <c r="F70" s="349"/>
      <c r="G70" s="349"/>
      <c r="H70" s="349"/>
      <c r="I70" s="349"/>
      <c r="J70" s="267"/>
      <c r="K70" s="267"/>
    </row>
    <row r="71" spans="1:11" x14ac:dyDescent="0.25">
      <c r="A71" s="86"/>
      <c r="B71" s="271"/>
      <c r="C71" s="82"/>
      <c r="D71" s="83">
        <v>7</v>
      </c>
      <c r="E71" s="83">
        <v>500000</v>
      </c>
      <c r="F71" s="212">
        <f>D71*E71</f>
        <v>3500000</v>
      </c>
      <c r="G71" s="85"/>
      <c r="H71" s="84">
        <f>D71*E71</f>
        <v>3500000</v>
      </c>
      <c r="I71" s="221"/>
      <c r="J71" s="267"/>
      <c r="K71" s="267"/>
    </row>
    <row r="72" spans="1:11" x14ac:dyDescent="0.25">
      <c r="A72" s="86"/>
      <c r="B72" s="271"/>
      <c r="C72" s="82"/>
      <c r="D72" s="83">
        <f>7*3*15</f>
        <v>315</v>
      </c>
      <c r="E72" s="83">
        <v>50000</v>
      </c>
      <c r="F72" s="212">
        <f>D72*E72</f>
        <v>15750000</v>
      </c>
      <c r="G72" s="85"/>
      <c r="H72" s="84">
        <f>D72*E72</f>
        <v>15750000</v>
      </c>
      <c r="I72" s="221"/>
      <c r="J72" s="267"/>
      <c r="K72" s="267"/>
    </row>
    <row r="73" spans="1:11" x14ac:dyDescent="0.25">
      <c r="A73" s="86"/>
      <c r="B73" s="271"/>
      <c r="C73" s="82"/>
      <c r="D73" s="83">
        <f>7*3</f>
        <v>21</v>
      </c>
      <c r="E73" s="83">
        <v>1500000</v>
      </c>
      <c r="F73" s="212">
        <f>D73*E73</f>
        <v>31500000</v>
      </c>
      <c r="G73" s="85"/>
      <c r="H73" s="84">
        <f>D73*E73</f>
        <v>31500000</v>
      </c>
      <c r="I73" s="221"/>
      <c r="J73" s="267"/>
      <c r="K73" s="267"/>
    </row>
    <row r="74" spans="1:11" x14ac:dyDescent="0.25">
      <c r="A74" s="86"/>
      <c r="B74" s="271"/>
      <c r="C74" s="82"/>
      <c r="D74" s="83">
        <f>7*2*30</f>
        <v>420</v>
      </c>
      <c r="E74" s="83">
        <v>50000</v>
      </c>
      <c r="F74" s="212">
        <f>D74*E74</f>
        <v>21000000</v>
      </c>
      <c r="G74" s="85"/>
      <c r="H74" s="84">
        <f>D74*E74</f>
        <v>21000000</v>
      </c>
      <c r="I74" s="221"/>
      <c r="J74" s="267"/>
      <c r="K74" s="267"/>
    </row>
    <row r="75" spans="1:11" x14ac:dyDescent="0.25">
      <c r="A75" s="86"/>
      <c r="B75" s="271"/>
      <c r="C75" s="82"/>
      <c r="D75" s="83">
        <f>7*2*30</f>
        <v>420</v>
      </c>
      <c r="E75" s="83">
        <v>50000</v>
      </c>
      <c r="F75" s="212">
        <f>D75*E75</f>
        <v>21000000</v>
      </c>
      <c r="G75" s="85"/>
      <c r="H75" s="84">
        <f>D75*E75</f>
        <v>21000000</v>
      </c>
      <c r="I75" s="221"/>
      <c r="J75" s="267"/>
      <c r="K75" s="267"/>
    </row>
    <row r="76" spans="1:11" x14ac:dyDescent="0.25">
      <c r="A76" s="94"/>
      <c r="B76" s="273" t="s">
        <v>144</v>
      </c>
      <c r="C76" s="94"/>
      <c r="D76" s="95"/>
      <c r="E76" s="219"/>
      <c r="F76" s="220">
        <f>SUM(F71:F75)</f>
        <v>92750000</v>
      </c>
      <c r="G76" s="97"/>
      <c r="H76" s="220">
        <f>SUM(H71:H75)</f>
        <v>92750000</v>
      </c>
      <c r="I76" s="220"/>
      <c r="J76" s="267"/>
      <c r="K76" s="267"/>
    </row>
    <row r="77" spans="1:11" s="259" customFormat="1" x14ac:dyDescent="0.25">
      <c r="A77" s="86"/>
      <c r="B77" s="277"/>
      <c r="C77" s="86"/>
      <c r="D77" s="87"/>
      <c r="E77" s="209"/>
      <c r="F77" s="210"/>
      <c r="G77" s="211"/>
      <c r="H77" s="210"/>
      <c r="I77" s="210"/>
      <c r="J77" s="268"/>
      <c r="K77" s="268"/>
    </row>
    <row r="78" spans="1:11" s="259" customFormat="1" x14ac:dyDescent="0.25">
      <c r="A78" s="94"/>
      <c r="B78" s="273" t="s">
        <v>227</v>
      </c>
      <c r="C78" s="94"/>
      <c r="D78" s="95"/>
      <c r="E78" s="219"/>
      <c r="F78" s="220">
        <f>SUM(F76,F69)</f>
        <v>135100000</v>
      </c>
      <c r="G78" s="220"/>
      <c r="H78" s="220">
        <f>SUM(H76,H69)</f>
        <v>135100000</v>
      </c>
      <c r="I78" s="220">
        <f t="shared" ref="I78:K78" si="12">SUM(I76,I69)</f>
        <v>0</v>
      </c>
      <c r="J78" s="220">
        <f t="shared" si="12"/>
        <v>0</v>
      </c>
      <c r="K78" s="220">
        <f t="shared" si="12"/>
        <v>0</v>
      </c>
    </row>
    <row r="79" spans="1:11" s="259" customFormat="1" x14ac:dyDescent="0.25">
      <c r="A79" s="86"/>
      <c r="B79" s="277"/>
      <c r="C79" s="86"/>
      <c r="D79" s="87"/>
      <c r="E79" s="209"/>
      <c r="F79" s="210"/>
      <c r="G79" s="211"/>
      <c r="H79" s="210"/>
      <c r="I79" s="210"/>
      <c r="J79" s="268"/>
      <c r="K79" s="268"/>
    </row>
    <row r="80" spans="1:11" x14ac:dyDescent="0.25">
      <c r="A80" s="279" t="s">
        <v>195</v>
      </c>
      <c r="B80" s="281" t="str">
        <f>Logframe!D12</f>
        <v>K 1.4.  Pengajuan usulan integrasi PHBM ke dalam dokumen Dokumen Rencana Kerja Dinas  Kehutanan Kabupaten Bungo</v>
      </c>
      <c r="C80" s="86"/>
      <c r="D80" s="87"/>
      <c r="E80" s="87"/>
      <c r="F80" s="282"/>
      <c r="G80" s="211"/>
      <c r="H80" s="282"/>
      <c r="I80" s="282"/>
      <c r="J80" s="267"/>
      <c r="K80" s="267"/>
    </row>
    <row r="81" spans="1:11" x14ac:dyDescent="0.25">
      <c r="A81" s="276" t="s">
        <v>145</v>
      </c>
      <c r="B81" s="349" t="str">
        <f>Logframe!G12</f>
        <v>SK.1.4.1. Menyusun dokumen usulan integrasi 5 lokasi calon PHBM ke dalam rencana Kerja Dinhut Kab. Bungo</v>
      </c>
      <c r="C81" s="349"/>
      <c r="D81" s="349"/>
      <c r="E81" s="349"/>
      <c r="F81" s="349"/>
      <c r="G81" s="349"/>
      <c r="H81" s="349"/>
      <c r="I81" s="349"/>
      <c r="J81" s="267"/>
      <c r="K81" s="267"/>
    </row>
    <row r="82" spans="1:11" x14ac:dyDescent="0.25">
      <c r="A82" s="276"/>
      <c r="B82" s="283" t="s">
        <v>146</v>
      </c>
      <c r="C82" s="283"/>
      <c r="D82" s="283"/>
      <c r="E82" s="283"/>
      <c r="F82" s="283"/>
      <c r="G82" s="283"/>
      <c r="H82" s="283"/>
      <c r="I82" s="283"/>
      <c r="J82" s="267"/>
      <c r="K82" s="267"/>
    </row>
    <row r="83" spans="1:11" x14ac:dyDescent="0.25">
      <c r="A83" s="86"/>
      <c r="B83" s="271"/>
      <c r="C83" s="86"/>
      <c r="D83" s="83">
        <v>3</v>
      </c>
      <c r="E83" s="83">
        <v>300000</v>
      </c>
      <c r="F83" s="212">
        <f>D83*E83</f>
        <v>900000</v>
      </c>
      <c r="G83" s="85"/>
      <c r="H83" s="84">
        <f>D83*E83</f>
        <v>900000</v>
      </c>
      <c r="I83" s="82"/>
      <c r="J83" s="267"/>
      <c r="K83" s="267"/>
    </row>
    <row r="84" spans="1:11" x14ac:dyDescent="0.25">
      <c r="A84" s="86"/>
      <c r="B84" s="264"/>
      <c r="C84" s="86"/>
      <c r="D84" s="87">
        <v>3</v>
      </c>
      <c r="E84" s="216">
        <v>500000</v>
      </c>
      <c r="F84" s="212">
        <f>D84*E84</f>
        <v>1500000</v>
      </c>
      <c r="G84" s="213"/>
      <c r="H84" s="84">
        <f>D84*E84</f>
        <v>1500000</v>
      </c>
      <c r="I84" s="82"/>
      <c r="J84" s="267"/>
      <c r="K84" s="267"/>
    </row>
    <row r="85" spans="1:11" x14ac:dyDescent="0.25">
      <c r="A85" s="86"/>
      <c r="B85" s="264"/>
      <c r="C85" s="86"/>
      <c r="D85" s="87">
        <f>3*15*1</f>
        <v>45</v>
      </c>
      <c r="E85" s="216">
        <v>150000</v>
      </c>
      <c r="F85" s="212">
        <f>D85*E85</f>
        <v>6750000</v>
      </c>
      <c r="G85" s="213"/>
      <c r="H85" s="84">
        <f>D85*E85</f>
        <v>6750000</v>
      </c>
      <c r="I85" s="82"/>
      <c r="J85" s="267"/>
      <c r="K85" s="267"/>
    </row>
    <row r="86" spans="1:11" x14ac:dyDescent="0.25">
      <c r="A86" s="86"/>
      <c r="B86" s="264"/>
      <c r="C86" s="86"/>
      <c r="D86" s="87">
        <f>3*10</f>
        <v>30</v>
      </c>
      <c r="E86" s="216">
        <v>150000</v>
      </c>
      <c r="F86" s="212">
        <f>D86*E86</f>
        <v>4500000</v>
      </c>
      <c r="G86" s="213"/>
      <c r="H86" s="84">
        <f>D86*E86</f>
        <v>4500000</v>
      </c>
      <c r="I86" s="82"/>
      <c r="J86" s="267"/>
      <c r="K86" s="267"/>
    </row>
    <row r="87" spans="1:11" x14ac:dyDescent="0.25">
      <c r="A87" s="94"/>
      <c r="B87" s="273" t="s">
        <v>147</v>
      </c>
      <c r="C87" s="94"/>
      <c r="D87" s="95"/>
      <c r="E87" s="219"/>
      <c r="F87" s="220">
        <f>SUM(F83:F86)</f>
        <v>13650000</v>
      </c>
      <c r="G87" s="97"/>
      <c r="H87" s="220">
        <f>SUM(H83:H86)</f>
        <v>13650000</v>
      </c>
      <c r="I87" s="220"/>
      <c r="J87" s="267"/>
      <c r="K87" s="267"/>
    </row>
    <row r="88" spans="1:11" x14ac:dyDescent="0.25">
      <c r="A88" s="276" t="s">
        <v>148</v>
      </c>
      <c r="B88" s="349" t="str">
        <f>Logframe!G13</f>
        <v>SK 1.4.2. Serial pertemuan pembahasan usulan  integrasi 5 lokasi calon PHBM ke dalam rencana Kerja Dinhut Kab. Bungo</v>
      </c>
      <c r="C88" s="349"/>
      <c r="D88" s="349"/>
      <c r="E88" s="349"/>
      <c r="F88" s="349"/>
      <c r="G88" s="349"/>
      <c r="H88" s="349"/>
      <c r="I88" s="349"/>
      <c r="J88" s="267"/>
      <c r="K88" s="267"/>
    </row>
    <row r="89" spans="1:11" x14ac:dyDescent="0.25">
      <c r="A89" s="86"/>
      <c r="B89" s="271"/>
      <c r="C89" s="86"/>
      <c r="D89" s="83">
        <v>2</v>
      </c>
      <c r="E89" s="83">
        <v>300000</v>
      </c>
      <c r="F89" s="212">
        <f>D89*E89</f>
        <v>600000</v>
      </c>
      <c r="G89" s="85"/>
      <c r="H89" s="84">
        <f>D89*E89</f>
        <v>600000</v>
      </c>
      <c r="I89" s="82"/>
      <c r="J89" s="267"/>
      <c r="K89" s="267"/>
    </row>
    <row r="90" spans="1:11" x14ac:dyDescent="0.25">
      <c r="A90" s="86"/>
      <c r="B90" s="264"/>
      <c r="C90" s="86"/>
      <c r="D90" s="87">
        <v>2</v>
      </c>
      <c r="E90" s="216">
        <v>500000</v>
      </c>
      <c r="F90" s="212">
        <f>D90*E90</f>
        <v>1000000</v>
      </c>
      <c r="G90" s="213"/>
      <c r="H90" s="84">
        <f>D90*E90</f>
        <v>1000000</v>
      </c>
      <c r="I90" s="82"/>
      <c r="J90" s="267"/>
      <c r="K90" s="267"/>
    </row>
    <row r="91" spans="1:11" x14ac:dyDescent="0.25">
      <c r="A91" s="86"/>
      <c r="B91" s="264"/>
      <c r="C91" s="86"/>
      <c r="D91" s="87">
        <f>2*20*1</f>
        <v>40</v>
      </c>
      <c r="E91" s="216">
        <v>150000</v>
      </c>
      <c r="F91" s="212">
        <f>D91*E91</f>
        <v>6000000</v>
      </c>
      <c r="G91" s="213"/>
      <c r="H91" s="84">
        <f>D91*E91</f>
        <v>6000000</v>
      </c>
      <c r="I91" s="82"/>
      <c r="J91" s="267"/>
      <c r="K91" s="267"/>
    </row>
    <row r="92" spans="1:11" x14ac:dyDescent="0.25">
      <c r="A92" s="86"/>
      <c r="B92" s="264"/>
      <c r="C92" s="86"/>
      <c r="D92" s="87">
        <f>2*15</f>
        <v>30</v>
      </c>
      <c r="E92" s="216">
        <v>150000</v>
      </c>
      <c r="F92" s="212">
        <f>D92*E92</f>
        <v>4500000</v>
      </c>
      <c r="G92" s="213"/>
      <c r="H92" s="84">
        <f>D92*E92</f>
        <v>4500000</v>
      </c>
      <c r="I92" s="82"/>
      <c r="J92" s="267"/>
      <c r="K92" s="267"/>
    </row>
    <row r="93" spans="1:11" x14ac:dyDescent="0.25">
      <c r="A93" s="94"/>
      <c r="B93" s="273" t="s">
        <v>149</v>
      </c>
      <c r="C93" s="94"/>
      <c r="D93" s="95"/>
      <c r="E93" s="219"/>
      <c r="F93" s="220">
        <f>SUM(F89:F92)</f>
        <v>12100000</v>
      </c>
      <c r="G93" s="97"/>
      <c r="H93" s="220">
        <f>SUM(H89:H92)</f>
        <v>12100000</v>
      </c>
      <c r="I93" s="220"/>
      <c r="J93" s="267"/>
      <c r="K93" s="267"/>
    </row>
    <row r="94" spans="1:11" x14ac:dyDescent="0.25">
      <c r="A94" s="276" t="s">
        <v>150</v>
      </c>
      <c r="B94" s="349" t="str">
        <f>Logframe!G14</f>
        <v>SK 1.4.3. Pengawalan Pengesahan dokumen kerangka program bidang kehutanan Kab Bungo yang mengakomodasi kegiatan di 5 lokasi calon PHBM</v>
      </c>
      <c r="C94" s="349"/>
      <c r="D94" s="349"/>
      <c r="E94" s="349"/>
      <c r="F94" s="349"/>
      <c r="G94" s="349"/>
      <c r="H94" s="349"/>
      <c r="I94" s="349"/>
      <c r="J94" s="267"/>
      <c r="K94" s="267"/>
    </row>
    <row r="95" spans="1:11" x14ac:dyDescent="0.25">
      <c r="A95" s="276"/>
      <c r="B95" s="283" t="s">
        <v>151</v>
      </c>
      <c r="C95" s="283"/>
      <c r="D95" s="283"/>
      <c r="E95" s="283"/>
      <c r="F95" s="283"/>
      <c r="G95" s="283"/>
      <c r="H95" s="283"/>
      <c r="I95" s="283"/>
      <c r="J95" s="267"/>
      <c r="K95" s="267"/>
    </row>
    <row r="96" spans="1:11" x14ac:dyDescent="0.25">
      <c r="A96" s="86"/>
      <c r="B96" s="264"/>
      <c r="C96" s="86"/>
      <c r="D96" s="87">
        <v>2</v>
      </c>
      <c r="E96" s="216">
        <v>1000000</v>
      </c>
      <c r="F96" s="212">
        <f>D96*E96</f>
        <v>2000000</v>
      </c>
      <c r="G96" s="213"/>
      <c r="H96" s="84">
        <f>D96*E96</f>
        <v>2000000</v>
      </c>
      <c r="I96" s="82"/>
      <c r="J96" s="267"/>
      <c r="K96" s="267"/>
    </row>
    <row r="97" spans="1:11" x14ac:dyDescent="0.25">
      <c r="A97" s="86"/>
      <c r="B97" s="264"/>
      <c r="C97" s="86"/>
      <c r="D97" s="87">
        <v>1</v>
      </c>
      <c r="E97" s="216">
        <v>500000</v>
      </c>
      <c r="F97" s="212">
        <f>D97*E97</f>
        <v>500000</v>
      </c>
      <c r="G97" s="213"/>
      <c r="H97" s="84">
        <f>D97*E97</f>
        <v>500000</v>
      </c>
      <c r="I97" s="82"/>
      <c r="J97" s="267"/>
      <c r="K97" s="267"/>
    </row>
    <row r="98" spans="1:11" x14ac:dyDescent="0.25">
      <c r="A98" s="86"/>
      <c r="B98" s="264"/>
      <c r="C98" s="86"/>
      <c r="D98" s="87">
        <v>6</v>
      </c>
      <c r="E98" s="216">
        <v>75000</v>
      </c>
      <c r="F98" s="212">
        <f>D98*E98</f>
        <v>450000</v>
      </c>
      <c r="G98" s="213"/>
      <c r="H98" s="84">
        <f>D98*E98</f>
        <v>450000</v>
      </c>
      <c r="I98" s="82"/>
      <c r="J98" s="267"/>
      <c r="K98" s="267"/>
    </row>
    <row r="99" spans="1:11" x14ac:dyDescent="0.25">
      <c r="A99" s="86"/>
      <c r="B99" s="264"/>
      <c r="C99" s="86"/>
      <c r="D99" s="87">
        <f>42*2</f>
        <v>84</v>
      </c>
      <c r="E99" s="216">
        <v>150000</v>
      </c>
      <c r="F99" s="212">
        <f t="shared" ref="F99:F113" si="13">D99*E99</f>
        <v>12600000</v>
      </c>
      <c r="G99" s="213"/>
      <c r="H99" s="84">
        <f t="shared" ref="H99:H113" si="14">D99*E99</f>
        <v>12600000</v>
      </c>
      <c r="I99" s="82"/>
      <c r="J99" s="267"/>
      <c r="K99" s="267"/>
    </row>
    <row r="100" spans="1:11" x14ac:dyDescent="0.25">
      <c r="A100" s="86"/>
      <c r="B100" s="264"/>
      <c r="C100" s="86"/>
      <c r="D100" s="87"/>
      <c r="E100" s="216"/>
      <c r="F100" s="212"/>
      <c r="G100" s="213"/>
      <c r="H100" s="84"/>
      <c r="I100" s="82"/>
      <c r="J100" s="267"/>
      <c r="K100" s="267"/>
    </row>
    <row r="101" spans="1:11" x14ac:dyDescent="0.25">
      <c r="A101" s="86"/>
      <c r="B101" s="264"/>
      <c r="C101" s="86"/>
      <c r="D101" s="87">
        <f>4*20*2</f>
        <v>160</v>
      </c>
      <c r="E101" s="216">
        <v>200000</v>
      </c>
      <c r="F101" s="212">
        <f t="shared" si="13"/>
        <v>32000000</v>
      </c>
      <c r="G101" s="213"/>
      <c r="H101" s="84">
        <f t="shared" si="14"/>
        <v>32000000</v>
      </c>
      <c r="I101" s="82"/>
      <c r="J101" s="267"/>
      <c r="K101" s="267"/>
    </row>
    <row r="102" spans="1:11" x14ac:dyDescent="0.25">
      <c r="A102" s="86"/>
      <c r="B102" s="264"/>
      <c r="C102" s="86"/>
      <c r="D102" s="87">
        <v>2</v>
      </c>
      <c r="E102" s="216">
        <v>200000</v>
      </c>
      <c r="F102" s="212">
        <f t="shared" si="13"/>
        <v>400000</v>
      </c>
      <c r="G102" s="213"/>
      <c r="H102" s="84">
        <f t="shared" si="14"/>
        <v>400000</v>
      </c>
      <c r="I102" s="82"/>
      <c r="J102" s="267"/>
      <c r="K102" s="267"/>
    </row>
    <row r="103" spans="1:11" x14ac:dyDescent="0.25">
      <c r="A103" s="86"/>
      <c r="B103" s="264"/>
      <c r="C103" s="86"/>
      <c r="D103" s="87"/>
      <c r="E103" s="216"/>
      <c r="F103" s="212"/>
      <c r="G103" s="213"/>
      <c r="H103" s="84"/>
      <c r="I103" s="82"/>
      <c r="J103" s="267"/>
      <c r="K103" s="267"/>
    </row>
    <row r="104" spans="1:11" x14ac:dyDescent="0.25">
      <c r="A104" s="86"/>
      <c r="B104" s="264"/>
      <c r="C104" s="86"/>
      <c r="D104" s="87">
        <f>6*3*2</f>
        <v>36</v>
      </c>
      <c r="E104" s="216">
        <v>250000</v>
      </c>
      <c r="F104" s="212">
        <f t="shared" si="13"/>
        <v>9000000</v>
      </c>
      <c r="G104" s="213"/>
      <c r="H104" s="84">
        <f t="shared" si="14"/>
        <v>9000000</v>
      </c>
      <c r="I104" s="82"/>
      <c r="J104" s="267"/>
      <c r="K104" s="267"/>
    </row>
    <row r="105" spans="1:11" x14ac:dyDescent="0.25">
      <c r="A105" s="86"/>
      <c r="B105" s="264"/>
      <c r="C105" s="86"/>
      <c r="D105" s="87">
        <f>2*2</f>
        <v>4</v>
      </c>
      <c r="E105" s="216">
        <v>500000</v>
      </c>
      <c r="F105" s="212">
        <f t="shared" si="13"/>
        <v>2000000</v>
      </c>
      <c r="G105" s="213"/>
      <c r="H105" s="84">
        <f t="shared" si="14"/>
        <v>2000000</v>
      </c>
      <c r="I105" s="82"/>
      <c r="J105" s="267"/>
      <c r="K105" s="267"/>
    </row>
    <row r="106" spans="1:11" x14ac:dyDescent="0.25">
      <c r="A106" s="86"/>
      <c r="B106" s="264"/>
      <c r="C106" s="86"/>
      <c r="D106" s="87"/>
      <c r="E106" s="216"/>
      <c r="F106" s="212"/>
      <c r="G106" s="213"/>
      <c r="H106" s="84"/>
      <c r="I106" s="82"/>
      <c r="J106" s="267"/>
      <c r="K106" s="267"/>
    </row>
    <row r="107" spans="1:11" x14ac:dyDescent="0.25">
      <c r="A107" s="86"/>
      <c r="B107" s="264"/>
      <c r="C107" s="86"/>
      <c r="D107" s="87">
        <f>6*3*2</f>
        <v>36</v>
      </c>
      <c r="E107" s="216">
        <v>150000</v>
      </c>
      <c r="F107" s="212">
        <f>D107*E107</f>
        <v>5400000</v>
      </c>
      <c r="G107" s="213"/>
      <c r="H107" s="84">
        <f>D107*E107</f>
        <v>5400000</v>
      </c>
      <c r="I107" s="82"/>
      <c r="J107" s="267"/>
      <c r="K107" s="267"/>
    </row>
    <row r="108" spans="1:11" x14ac:dyDescent="0.25">
      <c r="A108" s="86"/>
      <c r="B108" s="264"/>
      <c r="C108" s="86"/>
      <c r="D108" s="87">
        <f>2*2</f>
        <v>4</v>
      </c>
      <c r="E108" s="216">
        <v>150000</v>
      </c>
      <c r="F108" s="212">
        <f>D108*E108</f>
        <v>600000</v>
      </c>
      <c r="G108" s="213"/>
      <c r="H108" s="84">
        <f>D108*E108</f>
        <v>600000</v>
      </c>
      <c r="I108" s="82"/>
      <c r="J108" s="267"/>
      <c r="K108" s="267"/>
    </row>
    <row r="109" spans="1:11" x14ac:dyDescent="0.25">
      <c r="A109" s="86"/>
      <c r="B109" s="264"/>
      <c r="C109" s="86"/>
      <c r="D109" s="87">
        <f>20*2</f>
        <v>40</v>
      </c>
      <c r="E109" s="216">
        <v>150000</v>
      </c>
      <c r="F109" s="212">
        <f t="shared" si="13"/>
        <v>6000000</v>
      </c>
      <c r="G109" s="213"/>
      <c r="H109" s="84">
        <f t="shared" si="14"/>
        <v>6000000</v>
      </c>
      <c r="I109" s="82"/>
      <c r="J109" s="267"/>
      <c r="K109" s="267"/>
    </row>
    <row r="110" spans="1:11" x14ac:dyDescent="0.25">
      <c r="A110" s="86"/>
      <c r="B110" s="264"/>
      <c r="C110" s="86"/>
      <c r="D110" s="87">
        <f>3*2</f>
        <v>6</v>
      </c>
      <c r="E110" s="216">
        <v>150000</v>
      </c>
      <c r="F110" s="212">
        <f t="shared" si="13"/>
        <v>900000</v>
      </c>
      <c r="G110" s="213"/>
      <c r="H110" s="84">
        <f t="shared" si="14"/>
        <v>900000</v>
      </c>
      <c r="I110" s="82"/>
      <c r="J110" s="267"/>
      <c r="K110" s="267"/>
    </row>
    <row r="111" spans="1:11" x14ac:dyDescent="0.25">
      <c r="A111" s="86"/>
      <c r="B111" s="264"/>
      <c r="C111" s="86"/>
      <c r="D111" s="87">
        <f>2*2</f>
        <v>4</v>
      </c>
      <c r="E111" s="216">
        <v>150000</v>
      </c>
      <c r="F111" s="212">
        <f t="shared" si="13"/>
        <v>600000</v>
      </c>
      <c r="G111" s="213"/>
      <c r="H111" s="84">
        <f t="shared" si="14"/>
        <v>600000</v>
      </c>
      <c r="I111" s="82"/>
      <c r="J111" s="267"/>
      <c r="K111" s="267"/>
    </row>
    <row r="112" spans="1:11" x14ac:dyDescent="0.25">
      <c r="A112" s="86"/>
      <c r="B112" s="264"/>
      <c r="C112" s="86"/>
      <c r="D112" s="87">
        <v>3</v>
      </c>
      <c r="E112" s="216">
        <v>750000</v>
      </c>
      <c r="F112" s="212">
        <f t="shared" si="13"/>
        <v>2250000</v>
      </c>
      <c r="G112" s="213"/>
      <c r="H112" s="84">
        <f t="shared" si="14"/>
        <v>2250000</v>
      </c>
      <c r="I112" s="82"/>
      <c r="J112" s="267"/>
      <c r="K112" s="267"/>
    </row>
    <row r="113" spans="1:11" x14ac:dyDescent="0.25">
      <c r="A113" s="86"/>
      <c r="B113" s="264"/>
      <c r="C113" s="86"/>
      <c r="D113" s="87">
        <v>2</v>
      </c>
      <c r="E113" s="216">
        <v>500000</v>
      </c>
      <c r="F113" s="212">
        <f t="shared" si="13"/>
        <v>1000000</v>
      </c>
      <c r="G113" s="213"/>
      <c r="H113" s="84">
        <f t="shared" si="14"/>
        <v>1000000</v>
      </c>
      <c r="I113" s="82"/>
      <c r="J113" s="267"/>
      <c r="K113" s="267"/>
    </row>
    <row r="114" spans="1:11" x14ac:dyDescent="0.25">
      <c r="A114" s="94"/>
      <c r="B114" s="273" t="s">
        <v>152</v>
      </c>
      <c r="C114" s="94"/>
      <c r="D114" s="95"/>
      <c r="E114" s="219"/>
      <c r="F114" s="220">
        <f>SUM(F96:F113)</f>
        <v>75700000</v>
      </c>
      <c r="G114" s="97"/>
      <c r="H114" s="220">
        <f>SUM(H96:H113)</f>
        <v>75700000</v>
      </c>
      <c r="I114" s="220">
        <f>SUM(I96:I113)</f>
        <v>0</v>
      </c>
      <c r="J114" s="267"/>
      <c r="K114" s="267"/>
    </row>
    <row r="115" spans="1:11" x14ac:dyDescent="0.25">
      <c r="A115" s="276" t="s">
        <v>153</v>
      </c>
      <c r="B115" s="349" t="str">
        <f>Logframe!G15</f>
        <v>SK 1.4.4. Mengawal proses penyusunan anggaran kerja tahunan Dinas Kehutanan Kab. Bungo</v>
      </c>
      <c r="C115" s="349"/>
      <c r="D115" s="349"/>
      <c r="E115" s="349"/>
      <c r="F115" s="349"/>
      <c r="G115" s="349"/>
      <c r="H115" s="349"/>
      <c r="I115" s="349"/>
      <c r="J115" s="267"/>
      <c r="K115" s="267"/>
    </row>
    <row r="116" spans="1:11" x14ac:dyDescent="0.25">
      <c r="A116" s="86"/>
      <c r="B116" s="264"/>
      <c r="C116" s="86"/>
      <c r="D116" s="87">
        <f>2*5</f>
        <v>10</v>
      </c>
      <c r="E116" s="216">
        <v>150000</v>
      </c>
      <c r="F116" s="212">
        <f>D116*E116</f>
        <v>1500000</v>
      </c>
      <c r="G116" s="213"/>
      <c r="H116" s="84">
        <f>D116*E116</f>
        <v>1500000</v>
      </c>
      <c r="I116" s="82"/>
      <c r="J116" s="267"/>
      <c r="K116" s="267"/>
    </row>
    <row r="117" spans="1:11" x14ac:dyDescent="0.25">
      <c r="A117" s="86"/>
      <c r="B117" s="264"/>
      <c r="C117" s="86"/>
      <c r="D117" s="87">
        <f>2*10*1</f>
        <v>20</v>
      </c>
      <c r="E117" s="216">
        <v>150000</v>
      </c>
      <c r="F117" s="212">
        <f>D117*E117</f>
        <v>3000000</v>
      </c>
      <c r="G117" s="213"/>
      <c r="H117" s="84">
        <f>D117*E117</f>
        <v>3000000</v>
      </c>
      <c r="I117" s="82"/>
      <c r="J117" s="267"/>
      <c r="K117" s="267"/>
    </row>
    <row r="118" spans="1:11" x14ac:dyDescent="0.25">
      <c r="A118" s="86"/>
      <c r="B118" s="264"/>
      <c r="C118" s="86"/>
      <c r="D118" s="87">
        <f>2*5</f>
        <v>10</v>
      </c>
      <c r="E118" s="216">
        <v>150000</v>
      </c>
      <c r="F118" s="212">
        <f>D118*E118</f>
        <v>1500000</v>
      </c>
      <c r="G118" s="213"/>
      <c r="H118" s="84">
        <f>D118*E118</f>
        <v>1500000</v>
      </c>
      <c r="I118" s="82"/>
      <c r="J118" s="267"/>
      <c r="K118" s="267"/>
    </row>
    <row r="119" spans="1:11" x14ac:dyDescent="0.25">
      <c r="A119" s="86"/>
      <c r="B119" s="264"/>
      <c r="C119" s="86"/>
      <c r="D119" s="87">
        <f>2*10*1</f>
        <v>20</v>
      </c>
      <c r="E119" s="216">
        <v>150000</v>
      </c>
      <c r="F119" s="212">
        <f>D119*E119</f>
        <v>3000000</v>
      </c>
      <c r="G119" s="213"/>
      <c r="H119" s="84">
        <f>D119*E119</f>
        <v>3000000</v>
      </c>
      <c r="I119" s="82"/>
      <c r="J119" s="267"/>
      <c r="K119" s="267"/>
    </row>
    <row r="120" spans="1:11" x14ac:dyDescent="0.25">
      <c r="A120" s="94"/>
      <c r="B120" s="273" t="s">
        <v>226</v>
      </c>
      <c r="C120" s="94"/>
      <c r="D120" s="95"/>
      <c r="E120" s="219"/>
      <c r="F120" s="220">
        <f>SUM(F116:F119)</f>
        <v>9000000</v>
      </c>
      <c r="G120" s="97"/>
      <c r="H120" s="220">
        <f>SUM(H116:H119)</f>
        <v>9000000</v>
      </c>
      <c r="I120" s="220"/>
      <c r="J120" s="267"/>
      <c r="K120" s="267"/>
    </row>
    <row r="121" spans="1:11" s="259" customFormat="1" x14ac:dyDescent="0.25">
      <c r="A121" s="86"/>
      <c r="B121" s="277"/>
      <c r="C121" s="86"/>
      <c r="D121" s="87"/>
      <c r="E121" s="209"/>
      <c r="F121" s="210"/>
      <c r="G121" s="211"/>
      <c r="H121" s="210"/>
      <c r="I121" s="210"/>
      <c r="J121" s="268"/>
      <c r="K121" s="268"/>
    </row>
    <row r="122" spans="1:11" s="259" customFormat="1" x14ac:dyDescent="0.25">
      <c r="A122" s="94"/>
      <c r="B122" s="273" t="s">
        <v>228</v>
      </c>
      <c r="C122" s="94"/>
      <c r="D122" s="95"/>
      <c r="E122" s="219"/>
      <c r="F122" s="220">
        <f t="shared" ref="F122:G122" si="15">SUM(F120,F114,F87,F93)</f>
        <v>110450000</v>
      </c>
      <c r="G122" s="220">
        <f t="shared" si="15"/>
        <v>0</v>
      </c>
      <c r="H122" s="220">
        <f>SUM(H120,H114,H87,H93)</f>
        <v>110450000</v>
      </c>
      <c r="I122" s="220">
        <f t="shared" ref="I122:K122" si="16">SUM(I120,I114,I87,I93)</f>
        <v>0</v>
      </c>
      <c r="J122" s="220">
        <f t="shared" si="16"/>
        <v>0</v>
      </c>
      <c r="K122" s="220">
        <f t="shared" si="16"/>
        <v>0</v>
      </c>
    </row>
    <row r="123" spans="1:11" x14ac:dyDescent="0.25">
      <c r="A123" s="86"/>
      <c r="B123" s="277"/>
      <c r="C123" s="86"/>
      <c r="D123" s="87"/>
      <c r="E123" s="209"/>
      <c r="F123" s="210"/>
      <c r="G123" s="211"/>
      <c r="H123" s="210"/>
      <c r="I123" s="210"/>
      <c r="J123" s="267"/>
      <c r="K123" s="267"/>
    </row>
    <row r="124" spans="1:11" x14ac:dyDescent="0.25">
      <c r="A124" s="284"/>
      <c r="B124" s="285" t="s">
        <v>154</v>
      </c>
      <c r="C124" s="284"/>
      <c r="D124" s="286"/>
      <c r="E124" s="287"/>
      <c r="F124" s="288">
        <f t="shared" ref="F124:G124" si="17">SUM(F122,F78,F56,F27)</f>
        <v>621800000</v>
      </c>
      <c r="G124" s="288">
        <f t="shared" si="17"/>
        <v>0</v>
      </c>
      <c r="H124" s="288">
        <f>SUM(H122,H78,H56,H27)</f>
        <v>621800000</v>
      </c>
      <c r="I124" s="288">
        <f t="shared" ref="I124:K124" si="18">SUM(I122,I78,I56,I27)</f>
        <v>0</v>
      </c>
      <c r="J124" s="288">
        <f t="shared" si="18"/>
        <v>0</v>
      </c>
      <c r="K124" s="288">
        <f t="shared" si="18"/>
        <v>0</v>
      </c>
    </row>
    <row r="132" spans="5:7" x14ac:dyDescent="0.25">
      <c r="E132" s="131"/>
      <c r="G132" s="131"/>
    </row>
    <row r="159" spans="5:7" x14ac:dyDescent="0.25">
      <c r="E159" s="131"/>
      <c r="G159" s="131"/>
    </row>
    <row r="160" spans="5:7" x14ac:dyDescent="0.25">
      <c r="E160" s="131"/>
      <c r="G160" s="131"/>
    </row>
    <row r="168" spans="5:7" x14ac:dyDescent="0.25">
      <c r="E168" s="131"/>
      <c r="G168" s="131"/>
    </row>
    <row r="184" spans="5:7" x14ac:dyDescent="0.25">
      <c r="E184" s="131"/>
      <c r="G184" s="131"/>
    </row>
    <row r="223" spans="5:7" x14ac:dyDescent="0.25">
      <c r="E223" s="131"/>
      <c r="G223" s="131"/>
    </row>
    <row r="224" spans="5:7" x14ac:dyDescent="0.25">
      <c r="E224" s="131"/>
      <c r="G224" s="131"/>
    </row>
    <row r="225" spans="5:7" x14ac:dyDescent="0.25">
      <c r="E225" s="131"/>
      <c r="G225" s="131"/>
    </row>
    <row r="272" spans="5:7" x14ac:dyDescent="0.25">
      <c r="E272" s="131"/>
      <c r="G272" s="131"/>
    </row>
    <row r="303" spans="5:7" x14ac:dyDescent="0.25">
      <c r="E303" s="131"/>
      <c r="G303" s="131"/>
    </row>
    <row r="304" spans="5:7" x14ac:dyDescent="0.25">
      <c r="E304" s="131"/>
      <c r="G304" s="131"/>
    </row>
    <row r="316" spans="5:7" x14ac:dyDescent="0.25">
      <c r="E316" s="131"/>
      <c r="G316" s="131"/>
    </row>
  </sheetData>
  <mergeCells count="14">
    <mergeCell ref="B23:I23"/>
    <mergeCell ref="A3:B3"/>
    <mergeCell ref="A4:B4"/>
    <mergeCell ref="B7:I7"/>
    <mergeCell ref="B15:I15"/>
    <mergeCell ref="B18:I18"/>
    <mergeCell ref="B88:I88"/>
    <mergeCell ref="B94:I94"/>
    <mergeCell ref="B115:I115"/>
    <mergeCell ref="A29:I29"/>
    <mergeCell ref="B30:I30"/>
    <mergeCell ref="B58:I58"/>
    <mergeCell ref="B70:I70"/>
    <mergeCell ref="B81:I8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zoomScale="71" zoomScaleNormal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0" sqref="I10"/>
    </sheetView>
  </sheetViews>
  <sheetFormatPr defaultRowHeight="15" x14ac:dyDescent="0.25"/>
  <cols>
    <col min="2" max="2" width="25.140625" bestFit="1" customWidth="1"/>
    <col min="3" max="3" width="20" bestFit="1" customWidth="1"/>
    <col min="4" max="4" width="14.28515625" bestFit="1" customWidth="1"/>
    <col min="5" max="5" width="11.42578125" bestFit="1" customWidth="1"/>
    <col min="6" max="6" width="11" bestFit="1" customWidth="1"/>
    <col min="7" max="7" width="13.5703125" bestFit="1" customWidth="1"/>
    <col min="8" max="8" width="13" bestFit="1" customWidth="1"/>
    <col min="9" max="9" width="14.85546875" customWidth="1"/>
    <col min="10" max="11" width="11.42578125" bestFit="1" customWidth="1"/>
    <col min="12" max="12" width="13" bestFit="1" customWidth="1"/>
    <col min="13" max="14" width="11.42578125" bestFit="1" customWidth="1"/>
    <col min="15" max="15" width="12.42578125" bestFit="1" customWidth="1"/>
    <col min="16" max="16" width="17.7109375" style="233" customWidth="1"/>
    <col min="17" max="18" width="12.42578125" bestFit="1" customWidth="1"/>
    <col min="19" max="21" width="11.42578125" bestFit="1" customWidth="1"/>
    <col min="29" max="29" width="15.85546875" bestFit="1" customWidth="1"/>
    <col min="42" max="42" width="12.85546875" bestFit="1" customWidth="1"/>
  </cols>
  <sheetData>
    <row r="1" spans="1:42" ht="18.75" x14ac:dyDescent="0.3">
      <c r="A1" s="152" t="s">
        <v>265</v>
      </c>
      <c r="B1" s="153"/>
      <c r="C1" s="154"/>
      <c r="D1" s="155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29"/>
      <c r="Q1" s="157"/>
      <c r="R1" s="157"/>
      <c r="S1" s="157"/>
      <c r="T1" s="157"/>
      <c r="U1" s="157"/>
      <c r="V1" s="157"/>
      <c r="W1" s="157"/>
      <c r="X1" s="156"/>
      <c r="Y1" s="156"/>
      <c r="Z1" s="156"/>
      <c r="AA1" s="156"/>
      <c r="AB1" s="156"/>
      <c r="AC1" s="158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</row>
    <row r="2" spans="1:42" ht="15.75" thickBot="1" x14ac:dyDescent="0.3">
      <c r="A2" s="159"/>
      <c r="B2" s="160"/>
      <c r="C2" s="161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30"/>
      <c r="Q2" s="164"/>
      <c r="R2" s="164"/>
      <c r="S2" s="164"/>
      <c r="T2" s="164"/>
      <c r="U2" s="164"/>
      <c r="V2" s="164"/>
      <c r="W2" s="164"/>
      <c r="X2" s="163"/>
      <c r="Y2" s="163"/>
      <c r="Z2" s="163"/>
      <c r="AA2" s="163"/>
      <c r="AB2" s="163"/>
      <c r="AC2" s="165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1:42" ht="27.75" customHeight="1" x14ac:dyDescent="0.25">
      <c r="A3" s="358" t="s">
        <v>89</v>
      </c>
      <c r="B3" s="360" t="s">
        <v>30</v>
      </c>
      <c r="C3" s="362" t="s">
        <v>90</v>
      </c>
      <c r="D3" s="364" t="s">
        <v>262</v>
      </c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 t="s">
        <v>263</v>
      </c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 t="s">
        <v>264</v>
      </c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5"/>
      <c r="AP3" s="366"/>
    </row>
    <row r="4" spans="1:42" ht="30.75" customHeight="1" x14ac:dyDescent="0.25">
      <c r="A4" s="359"/>
      <c r="B4" s="361"/>
      <c r="C4" s="363"/>
      <c r="D4" s="166">
        <v>1</v>
      </c>
      <c r="E4" s="167">
        <v>2</v>
      </c>
      <c r="F4" s="167">
        <v>3</v>
      </c>
      <c r="G4" s="167">
        <v>4</v>
      </c>
      <c r="H4" s="167">
        <v>5</v>
      </c>
      <c r="I4" s="167">
        <v>6</v>
      </c>
      <c r="J4" s="167">
        <v>7</v>
      </c>
      <c r="K4" s="167">
        <v>8</v>
      </c>
      <c r="L4" s="167">
        <v>9</v>
      </c>
      <c r="M4" s="167">
        <v>10</v>
      </c>
      <c r="N4" s="167">
        <v>11</v>
      </c>
      <c r="O4" s="167">
        <v>12</v>
      </c>
      <c r="P4" s="167" t="s">
        <v>215</v>
      </c>
      <c r="Q4" s="167">
        <v>1</v>
      </c>
      <c r="R4" s="167">
        <v>2</v>
      </c>
      <c r="S4" s="167">
        <v>3</v>
      </c>
      <c r="T4" s="167">
        <v>4</v>
      </c>
      <c r="U4" s="167">
        <v>5</v>
      </c>
      <c r="V4" s="167">
        <v>6</v>
      </c>
      <c r="W4" s="167">
        <v>7</v>
      </c>
      <c r="X4" s="167">
        <v>8</v>
      </c>
      <c r="Y4" s="167">
        <v>9</v>
      </c>
      <c r="Z4" s="167">
        <v>10</v>
      </c>
      <c r="AA4" s="167">
        <v>11</v>
      </c>
      <c r="AB4" s="167">
        <v>12</v>
      </c>
      <c r="AC4" s="167" t="s">
        <v>216</v>
      </c>
      <c r="AD4" s="167">
        <v>1</v>
      </c>
      <c r="AE4" s="167">
        <v>2</v>
      </c>
      <c r="AF4" s="167">
        <v>3</v>
      </c>
      <c r="AG4" s="167">
        <v>4</v>
      </c>
      <c r="AH4" s="167">
        <v>5</v>
      </c>
      <c r="AI4" s="167">
        <v>6</v>
      </c>
      <c r="AJ4" s="167">
        <v>7</v>
      </c>
      <c r="AK4" s="167">
        <v>8</v>
      </c>
      <c r="AL4" s="167">
        <v>9</v>
      </c>
      <c r="AM4" s="167">
        <v>10</v>
      </c>
      <c r="AN4" s="167">
        <v>11</v>
      </c>
      <c r="AO4" s="168">
        <v>12</v>
      </c>
      <c r="AP4" s="168" t="s">
        <v>217</v>
      </c>
    </row>
    <row r="5" spans="1:42" ht="15.75" x14ac:dyDescent="0.25">
      <c r="A5" s="169"/>
      <c r="B5" s="170" t="s">
        <v>91</v>
      </c>
      <c r="C5" s="171"/>
      <c r="D5" s="355">
        <v>2014</v>
      </c>
      <c r="E5" s="356"/>
      <c r="F5" s="356"/>
      <c r="G5" s="356"/>
      <c r="H5" s="356"/>
      <c r="I5" s="356"/>
      <c r="J5" s="356"/>
      <c r="K5" s="357">
        <v>2015</v>
      </c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3">
        <v>2016</v>
      </c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4">
        <v>2017</v>
      </c>
      <c r="AL5" s="354"/>
      <c r="AM5" s="354"/>
      <c r="AN5" s="354"/>
      <c r="AO5" s="354"/>
      <c r="AP5" s="354"/>
    </row>
    <row r="6" spans="1:42" x14ac:dyDescent="0.25">
      <c r="A6" s="169"/>
      <c r="B6" s="172"/>
      <c r="C6" s="173"/>
      <c r="D6" s="174" t="s">
        <v>218</v>
      </c>
      <c r="E6" s="174" t="s">
        <v>219</v>
      </c>
      <c r="F6" s="174" t="s">
        <v>220</v>
      </c>
      <c r="G6" s="174" t="s">
        <v>221</v>
      </c>
      <c r="H6" s="174" t="s">
        <v>222</v>
      </c>
      <c r="I6" s="174" t="s">
        <v>92</v>
      </c>
      <c r="J6" s="174" t="s">
        <v>223</v>
      </c>
      <c r="K6" s="175" t="s">
        <v>93</v>
      </c>
      <c r="L6" s="175" t="s">
        <v>94</v>
      </c>
      <c r="M6" s="175" t="s">
        <v>95</v>
      </c>
      <c r="N6" s="175" t="s">
        <v>224</v>
      </c>
      <c r="O6" s="175" t="s">
        <v>225</v>
      </c>
      <c r="P6" s="167" t="s">
        <v>215</v>
      </c>
      <c r="Q6" s="175" t="s">
        <v>218</v>
      </c>
      <c r="R6" s="175" t="s">
        <v>219</v>
      </c>
      <c r="S6" s="175" t="s">
        <v>220</v>
      </c>
      <c r="T6" s="175" t="s">
        <v>221</v>
      </c>
      <c r="U6" s="175" t="s">
        <v>222</v>
      </c>
      <c r="V6" s="175" t="s">
        <v>92</v>
      </c>
      <c r="W6" s="175" t="s">
        <v>223</v>
      </c>
      <c r="X6" s="176" t="s">
        <v>93</v>
      </c>
      <c r="Y6" s="176" t="s">
        <v>94</v>
      </c>
      <c r="Z6" s="176" t="s">
        <v>95</v>
      </c>
      <c r="AA6" s="176" t="s">
        <v>224</v>
      </c>
      <c r="AB6" s="176" t="s">
        <v>225</v>
      </c>
      <c r="AC6" s="167" t="s">
        <v>216</v>
      </c>
      <c r="AD6" s="176" t="s">
        <v>218</v>
      </c>
      <c r="AE6" s="176" t="s">
        <v>219</v>
      </c>
      <c r="AF6" s="176" t="s">
        <v>220</v>
      </c>
      <c r="AG6" s="176" t="s">
        <v>221</v>
      </c>
      <c r="AH6" s="176" t="s">
        <v>222</v>
      </c>
      <c r="AI6" s="176" t="s">
        <v>92</v>
      </c>
      <c r="AJ6" s="176" t="s">
        <v>223</v>
      </c>
      <c r="AK6" s="226" t="s">
        <v>93</v>
      </c>
      <c r="AL6" s="227" t="s">
        <v>94</v>
      </c>
      <c r="AM6" s="227" t="s">
        <v>95</v>
      </c>
      <c r="AN6" s="227" t="s">
        <v>224</v>
      </c>
      <c r="AO6" s="227" t="s">
        <v>225</v>
      </c>
      <c r="AP6" s="168" t="s">
        <v>217</v>
      </c>
    </row>
    <row r="7" spans="1:42" ht="15.75" thickBot="1" x14ac:dyDescent="0.3">
      <c r="A7" s="177"/>
      <c r="B7" s="178"/>
      <c r="C7" s="179"/>
      <c r="D7" s="180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23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2"/>
      <c r="AP7" s="182"/>
    </row>
    <row r="8" spans="1:42" ht="72.75" thickBot="1" x14ac:dyDescent="0.3">
      <c r="A8" s="183" t="s">
        <v>96</v>
      </c>
      <c r="B8" s="184" t="str">
        <f>Logframe!B4</f>
        <v>Komponen 1. Pemetaan potensi koridor habitat dan sinkronisasi kebijakan pembangunan kehutanan di kawasan penyangga TNKS Blok Bujang Raba</v>
      </c>
      <c r="C8" s="237">
        <f>SUM(C9,C14,C17,C20)</f>
        <v>621800000</v>
      </c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232">
        <f>SUM(D8:O8)</f>
        <v>0</v>
      </c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235">
        <f t="shared" ref="AC8:AC23" si="0">SUM(Q8:AB8)</f>
        <v>0</v>
      </c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7"/>
      <c r="AP8" s="187"/>
    </row>
    <row r="9" spans="1:42" ht="122.25" customHeight="1" x14ac:dyDescent="0.25">
      <c r="A9" s="188" t="s">
        <v>97</v>
      </c>
      <c r="B9" s="189" t="str">
        <f>Logframe!D5</f>
        <v>K 1.1. Mengidentifikasi kondisi tutupan hutan, penggunaan lahan,  potensi koridor dan potensi PHBM dengan melakukan pemetaan dan analisis spasial  di kawasan penyangga TNKS blok Bujang Raba</v>
      </c>
      <c r="C9" s="225">
        <f>SUM(C10:C13)</f>
        <v>166500000</v>
      </c>
      <c r="D9" s="190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228">
        <f>SUM(D9:O9)</f>
        <v>0</v>
      </c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234">
        <f t="shared" si="0"/>
        <v>0</v>
      </c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2"/>
      <c r="AP9" s="236">
        <f>SUM(AD9:AO9)</f>
        <v>0</v>
      </c>
    </row>
    <row r="10" spans="1:42" ht="48" x14ac:dyDescent="0.25">
      <c r="A10" s="193" t="s">
        <v>98</v>
      </c>
      <c r="B10" s="194" t="str">
        <f>Logframe!G5</f>
        <v>SK 1.1.1. Pengadaan citra satelit  dan pengumpulan dokumen RTRW Kabupaten Bungo</v>
      </c>
      <c r="C10" s="195">
        <f>Budget!F14</f>
        <v>145500000</v>
      </c>
      <c r="D10" s="195">
        <v>145500000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228">
        <f t="shared" ref="P10:P24" si="1">SUM(D10:O10)</f>
        <v>145500000</v>
      </c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234">
        <f t="shared" si="0"/>
        <v>0</v>
      </c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7"/>
      <c r="AP10" s="236">
        <f t="shared" ref="AP10:AP24" si="2">SUM(AD10:AO10)</f>
        <v>0</v>
      </c>
    </row>
    <row r="11" spans="1:42" ht="36" x14ac:dyDescent="0.25">
      <c r="A11" s="193" t="s">
        <v>99</v>
      </c>
      <c r="B11" s="194" t="str">
        <f>Logframe!G6</f>
        <v>SK 1.1.2. Interpretasi dan analisis citra satelit, peta RBI, dan dokumen RTRW</v>
      </c>
      <c r="C11" s="198">
        <f>Budget!F17</f>
        <v>1500000</v>
      </c>
      <c r="D11" s="199"/>
      <c r="E11" s="198"/>
      <c r="F11" s="198">
        <v>1500000</v>
      </c>
      <c r="G11" s="198"/>
      <c r="H11" s="198"/>
      <c r="I11" s="198"/>
      <c r="J11" s="196"/>
      <c r="K11" s="196"/>
      <c r="L11" s="196"/>
      <c r="M11" s="196"/>
      <c r="N11" s="196"/>
      <c r="O11" s="196"/>
      <c r="P11" s="228">
        <f t="shared" si="1"/>
        <v>1500000</v>
      </c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234">
        <f t="shared" si="0"/>
        <v>0</v>
      </c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7"/>
      <c r="AP11" s="236">
        <f t="shared" si="2"/>
        <v>0</v>
      </c>
    </row>
    <row r="12" spans="1:42" ht="24" x14ac:dyDescent="0.25">
      <c r="A12" s="193" t="s">
        <v>100</v>
      </c>
      <c r="B12" s="194" t="str">
        <f>Logframe!G7</f>
        <v>SK 1.1.3. Ground Check di 50 titik di 5 desa</v>
      </c>
      <c r="C12" s="198">
        <f>Budget!F22</f>
        <v>13500000</v>
      </c>
      <c r="D12" s="198"/>
      <c r="E12" s="198"/>
      <c r="F12" s="200"/>
      <c r="H12" s="198">
        <v>7500000</v>
      </c>
      <c r="I12" s="196">
        <v>6000000</v>
      </c>
      <c r="J12" s="196"/>
      <c r="K12" s="196"/>
      <c r="L12" s="196"/>
      <c r="M12" s="196"/>
      <c r="N12" s="196"/>
      <c r="O12" s="196"/>
      <c r="P12" s="228">
        <f t="shared" si="1"/>
        <v>13500000</v>
      </c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234">
        <f t="shared" si="0"/>
        <v>0</v>
      </c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7"/>
      <c r="AP12" s="236">
        <f t="shared" si="2"/>
        <v>0</v>
      </c>
    </row>
    <row r="13" spans="1:42" ht="60" x14ac:dyDescent="0.25">
      <c r="A13" s="193" t="s">
        <v>101</v>
      </c>
      <c r="B13" s="194" t="str">
        <f>Logframe!G8</f>
        <v>SK 1.1.4. Analisis tutupan hutan, penggunaan lahan dan potensi pemodelan PHBM di kawasan penyangga TNKS blok Bujang Raba</v>
      </c>
      <c r="C13" s="198">
        <f>Budget!F25</f>
        <v>6000000</v>
      </c>
      <c r="D13" s="198"/>
      <c r="E13" s="198"/>
      <c r="F13" s="36"/>
      <c r="G13" s="36"/>
      <c r="I13" s="196"/>
      <c r="J13" s="198">
        <v>2000000</v>
      </c>
      <c r="K13" s="196">
        <v>2000000</v>
      </c>
      <c r="L13" s="196">
        <v>2000000</v>
      </c>
      <c r="M13" s="196"/>
      <c r="N13" s="196"/>
      <c r="O13" s="196"/>
      <c r="P13" s="228">
        <f t="shared" si="1"/>
        <v>6000000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234">
        <f t="shared" si="0"/>
        <v>0</v>
      </c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7"/>
      <c r="AP13" s="236">
        <f t="shared" si="2"/>
        <v>0</v>
      </c>
    </row>
    <row r="14" spans="1:42" ht="69" customHeight="1" x14ac:dyDescent="0.25">
      <c r="A14" s="201" t="s">
        <v>102</v>
      </c>
      <c r="B14" s="202" t="str">
        <f>Logframe!D9</f>
        <v>K 1.2.  Memetakan potensi 5 lokasi calon  PHBM di kawasan penyangga TNKS blok Bujang Raba</v>
      </c>
      <c r="C14" s="224">
        <f>SUM(C15:C16)</f>
        <v>209750000</v>
      </c>
      <c r="D14" s="203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28">
        <f t="shared" si="1"/>
        <v>0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34">
        <f t="shared" si="0"/>
        <v>0</v>
      </c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5"/>
      <c r="AP14" s="236">
        <f t="shared" si="2"/>
        <v>0</v>
      </c>
    </row>
    <row r="15" spans="1:42" ht="84" customHeight="1" x14ac:dyDescent="0.25">
      <c r="A15" s="193" t="s">
        <v>103</v>
      </c>
      <c r="B15" s="194" t="str">
        <f>Logframe!G9</f>
        <v>SK 1.2.1. Pemetaan partisipatif di 5 lokasi calon  PHBM di kawasan penyangga TNKS blok Bujang Raba</v>
      </c>
      <c r="C15" s="198">
        <f>(Budget!F53-Budget!F52)</f>
        <v>170750000</v>
      </c>
      <c r="D15" s="198"/>
      <c r="E15" s="196"/>
      <c r="F15" s="36"/>
      <c r="G15" s="196"/>
      <c r="H15" s="196">
        <v>100000000</v>
      </c>
      <c r="I15" s="196">
        <v>70750000</v>
      </c>
      <c r="J15" s="198"/>
      <c r="K15" s="196"/>
      <c r="L15" s="196"/>
      <c r="M15" s="196"/>
      <c r="N15" s="196"/>
      <c r="O15" s="196"/>
      <c r="P15" s="228">
        <f t="shared" si="1"/>
        <v>170750000</v>
      </c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234">
        <f t="shared" si="0"/>
        <v>0</v>
      </c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7"/>
      <c r="AP15" s="236">
        <f t="shared" si="2"/>
        <v>0</v>
      </c>
    </row>
    <row r="16" spans="1:42" ht="41.25" customHeight="1" x14ac:dyDescent="0.25">
      <c r="A16" s="193"/>
      <c r="B16" s="194" t="s">
        <v>104</v>
      </c>
      <c r="C16" s="198">
        <f>Budget!F52</f>
        <v>39000000</v>
      </c>
      <c r="D16" s="198">
        <v>3000000</v>
      </c>
      <c r="E16" s="198">
        <v>6000000</v>
      </c>
      <c r="F16" s="198">
        <v>3000000</v>
      </c>
      <c r="G16" s="198">
        <v>3000000</v>
      </c>
      <c r="H16" s="198">
        <v>3000000</v>
      </c>
      <c r="I16" s="198">
        <v>3000000</v>
      </c>
      <c r="J16" s="198">
        <v>3000000</v>
      </c>
      <c r="K16" s="198">
        <v>3000000</v>
      </c>
      <c r="L16" s="198">
        <v>3000000</v>
      </c>
      <c r="M16" s="198">
        <v>3000000</v>
      </c>
      <c r="N16" s="198">
        <v>3000000</v>
      </c>
      <c r="O16" s="198">
        <v>3000000</v>
      </c>
      <c r="P16" s="228">
        <f t="shared" si="1"/>
        <v>39000000</v>
      </c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234">
        <f t="shared" si="0"/>
        <v>0</v>
      </c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7"/>
      <c r="AP16" s="236">
        <f t="shared" si="2"/>
        <v>0</v>
      </c>
    </row>
    <row r="17" spans="1:42" ht="84" customHeight="1" x14ac:dyDescent="0.25">
      <c r="A17" s="206" t="s">
        <v>105</v>
      </c>
      <c r="B17" s="202" t="str">
        <f>Logframe!D10</f>
        <v xml:space="preserve">K. 1.3. Membangun baseline data sosial ekonomi dan biofisik  dengan melakukan PRA di 5 lokasi calon PHBM </v>
      </c>
      <c r="C17" s="224">
        <f>SUM(C18:C19)</f>
        <v>135100000</v>
      </c>
      <c r="D17" s="203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28">
        <f t="shared" si="1"/>
        <v>0</v>
      </c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34">
        <f t="shared" si="0"/>
        <v>0</v>
      </c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5"/>
      <c r="AP17" s="236">
        <f t="shared" si="2"/>
        <v>0</v>
      </c>
    </row>
    <row r="18" spans="1:42" ht="43.5" customHeight="1" x14ac:dyDescent="0.25">
      <c r="A18" s="207" t="s">
        <v>106</v>
      </c>
      <c r="B18" s="194" t="str">
        <f>Logframe!G10</f>
        <v>SK 1.3.1. Pelaksanaan TOT Fasilitator lokal PRA  di 5 lokasi calon PHBM</v>
      </c>
      <c r="C18" s="195">
        <f>Budget!F69</f>
        <v>42350000</v>
      </c>
      <c r="D18" s="200"/>
      <c r="F18" s="196"/>
      <c r="G18" s="195">
        <v>42350000</v>
      </c>
      <c r="H18" s="196"/>
      <c r="I18" s="196"/>
      <c r="J18" s="196"/>
      <c r="K18" s="196"/>
      <c r="L18" s="196"/>
      <c r="M18" s="196"/>
      <c r="N18" s="196"/>
      <c r="O18" s="196"/>
      <c r="P18" s="228">
        <f t="shared" si="1"/>
        <v>42350000</v>
      </c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234">
        <f t="shared" si="0"/>
        <v>0</v>
      </c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7"/>
      <c r="AP18" s="236">
        <f t="shared" si="2"/>
        <v>0</v>
      </c>
    </row>
    <row r="19" spans="1:42" ht="36" x14ac:dyDescent="0.25">
      <c r="A19" s="207" t="s">
        <v>107</v>
      </c>
      <c r="B19" s="194" t="str">
        <f>Logframe!G11</f>
        <v>SK 1.3.2. PRA di 5 desa calon lokasi PHBM tentang kondisi ekonomi dan biofisik</v>
      </c>
      <c r="C19" s="195">
        <f>Budget!F76</f>
        <v>92750000</v>
      </c>
      <c r="D19" s="199"/>
      <c r="E19" s="195"/>
      <c r="F19" s="196"/>
      <c r="G19" s="196"/>
      <c r="H19" s="196">
        <v>50000000</v>
      </c>
      <c r="I19" s="196">
        <v>42800000</v>
      </c>
      <c r="J19" s="196"/>
      <c r="K19" s="196"/>
      <c r="L19" s="196"/>
      <c r="M19" s="196"/>
      <c r="N19" s="196"/>
      <c r="O19" s="196"/>
      <c r="P19" s="228">
        <f t="shared" si="1"/>
        <v>92800000</v>
      </c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234">
        <f t="shared" si="0"/>
        <v>0</v>
      </c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7"/>
      <c r="AP19" s="236">
        <f t="shared" si="2"/>
        <v>0</v>
      </c>
    </row>
    <row r="20" spans="1:42" ht="60" x14ac:dyDescent="0.25">
      <c r="A20" s="206" t="s">
        <v>108</v>
      </c>
      <c r="B20" s="202" t="str">
        <f>Logframe!D12</f>
        <v>K 1.4.  Pengajuan usulan integrasi PHBM ke dalam dokumen Dokumen Rencana Kerja Dinas  Kehutanan Kabupaten Bungo</v>
      </c>
      <c r="C20" s="224">
        <f>SUM(C21:C24)</f>
        <v>110450000</v>
      </c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28">
        <f t="shared" si="1"/>
        <v>0</v>
      </c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34">
        <f t="shared" si="0"/>
        <v>0</v>
      </c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5"/>
      <c r="AP20" s="236">
        <f t="shared" si="2"/>
        <v>0</v>
      </c>
    </row>
    <row r="21" spans="1:42" ht="60.75" customHeight="1" x14ac:dyDescent="0.25">
      <c r="A21" s="208" t="s">
        <v>109</v>
      </c>
      <c r="B21" s="194" t="str">
        <f>Logframe!G12</f>
        <v>SK.1.4.1. Menyusun dokumen usulan integrasi 5 lokasi calon PHBM ke dalam rencana Kerja Dinhut Kab. Bungo</v>
      </c>
      <c r="C21" s="195">
        <f>Budget!F87</f>
        <v>13650000</v>
      </c>
      <c r="D21" s="198"/>
      <c r="E21" s="196"/>
      <c r="F21" s="196"/>
      <c r="G21" s="196"/>
      <c r="H21" s="196"/>
      <c r="I21" s="196"/>
      <c r="J21" s="196"/>
      <c r="K21" s="196"/>
      <c r="L21" s="195">
        <v>13650000</v>
      </c>
      <c r="N21" s="196"/>
      <c r="O21" s="196"/>
      <c r="P21" s="228">
        <f t="shared" si="1"/>
        <v>13650000</v>
      </c>
      <c r="Q21" s="195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234">
        <f t="shared" si="0"/>
        <v>0</v>
      </c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7"/>
      <c r="AP21" s="236">
        <f t="shared" si="2"/>
        <v>0</v>
      </c>
    </row>
    <row r="22" spans="1:42" ht="60" x14ac:dyDescent="0.25">
      <c r="A22" s="208" t="s">
        <v>110</v>
      </c>
      <c r="B22" s="194" t="str">
        <f>Logframe!G13</f>
        <v>SK 1.4.2. Serial pertemuan pembahasan usulan  integrasi 5 lokasi calon PHBM ke dalam rencana Kerja Dinhut Kab. Bungo</v>
      </c>
      <c r="C22" s="198">
        <f>Budget!F93</f>
        <v>12100000</v>
      </c>
      <c r="D22" s="198"/>
      <c r="E22" s="196"/>
      <c r="F22" s="196"/>
      <c r="G22" s="196"/>
      <c r="H22" s="196"/>
      <c r="I22" s="196"/>
      <c r="J22" s="196"/>
      <c r="K22" s="196"/>
      <c r="L22" s="196"/>
      <c r="M22" s="198">
        <v>12100000</v>
      </c>
      <c r="O22" s="198"/>
      <c r="P22" s="228">
        <f t="shared" si="1"/>
        <v>12100000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234">
        <f t="shared" si="0"/>
        <v>0</v>
      </c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7"/>
      <c r="AP22" s="236">
        <f t="shared" si="2"/>
        <v>0</v>
      </c>
    </row>
    <row r="23" spans="1:42" ht="72" x14ac:dyDescent="0.25">
      <c r="A23" s="208" t="s">
        <v>111</v>
      </c>
      <c r="B23" s="194" t="str">
        <f>Logframe!G14</f>
        <v>SK 1.4.3. Pengawalan Pengesahan dokumen kerangka program bidang kehutanan Kab Bungo yang mengakomodasi kegiatan di 5 lokasi calon PHBM</v>
      </c>
      <c r="C23" s="203">
        <f>Budget!F114</f>
        <v>75700000</v>
      </c>
      <c r="D23" s="198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>
        <v>25000000</v>
      </c>
      <c r="P23" s="228">
        <f t="shared" si="1"/>
        <v>25000000</v>
      </c>
      <c r="Q23" s="196">
        <v>25000000</v>
      </c>
      <c r="R23" s="198">
        <v>25700000</v>
      </c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234">
        <f t="shared" si="0"/>
        <v>50700000</v>
      </c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7"/>
      <c r="AP23" s="236">
        <f t="shared" si="2"/>
        <v>0</v>
      </c>
    </row>
    <row r="24" spans="1:42" ht="48" x14ac:dyDescent="0.25">
      <c r="A24" s="208" t="s">
        <v>112</v>
      </c>
      <c r="B24" s="194" t="str">
        <f>Logframe!G15</f>
        <v>SK 1.4.4. Mengawal proses penyusunan anggaran kerja tahunan Dinas Kehutanan Kab. Bungo</v>
      </c>
      <c r="C24" s="198">
        <f>Budget!F120</f>
        <v>9000000</v>
      </c>
      <c r="D24" s="198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228">
        <f t="shared" si="1"/>
        <v>0</v>
      </c>
      <c r="Q24" s="196"/>
      <c r="R24" s="198"/>
      <c r="S24" s="198">
        <v>3000000</v>
      </c>
      <c r="T24" s="198">
        <v>3000000</v>
      </c>
      <c r="U24" s="198">
        <v>3000000</v>
      </c>
      <c r="V24" s="196"/>
      <c r="W24" s="196"/>
      <c r="X24" s="196"/>
      <c r="Y24" s="196"/>
      <c r="Z24" s="196"/>
      <c r="AA24" s="196"/>
      <c r="AB24" s="196"/>
      <c r="AC24" s="234">
        <f>SUM(Q24:AB24)</f>
        <v>9000000</v>
      </c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7"/>
      <c r="AP24" s="236">
        <f t="shared" si="2"/>
        <v>0</v>
      </c>
    </row>
  </sheetData>
  <mergeCells count="10">
    <mergeCell ref="X5:AJ5"/>
    <mergeCell ref="AK5:AP5"/>
    <mergeCell ref="D5:J5"/>
    <mergeCell ref="K5:W5"/>
    <mergeCell ref="A3:A4"/>
    <mergeCell ref="B3:B4"/>
    <mergeCell ref="C3:C4"/>
    <mergeCell ref="D3:P3"/>
    <mergeCell ref="Q3:AC3"/>
    <mergeCell ref="AD3:A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Logframe</vt:lpstr>
      <vt:lpstr>Workplan</vt:lpstr>
      <vt:lpstr>PMP</vt:lpstr>
      <vt:lpstr>Budget</vt:lpstr>
      <vt:lpstr>Cashflow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jeri</dc:creator>
  <cp:lastModifiedBy>cssumatera</cp:lastModifiedBy>
  <cp:lastPrinted>2014-05-29T19:24:48Z</cp:lastPrinted>
  <dcterms:created xsi:type="dcterms:W3CDTF">2013-05-10T06:28:18Z</dcterms:created>
  <dcterms:modified xsi:type="dcterms:W3CDTF">2014-09-01T03:24:45Z</dcterms:modified>
</cp:coreProperties>
</file>